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worksheets/sheet6.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chartsheets/sheet4.xml" ContentType="application/vnd.openxmlformats-officedocument.spreadsheetml.chart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hartsheets/sheet2.xml" ContentType="application/vnd.openxmlformats-officedocument.spreadsheetml.chartsheet+xml"/>
  <Override PartName="/xl/chartsheets/sheet3.xml" ContentType="application/vnd.openxmlformats-officedocument.spreadsheetml.chartsheet+xml"/>
  <Override PartName="/xl/sharedStrings.xml" ContentType="application/vnd.openxmlformats-officedocument.spreadsheetml.sharedStrings+xml"/>
  <Override PartName="/xl/chartsheets/sheet1.xml" ContentType="application/vnd.openxmlformats-officedocument.spreadsheetml.chart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375" windowWidth="14940" windowHeight="8955" tabRatio="521" activeTab="4"/>
  </bookViews>
  <sheets>
    <sheet name="Inomhustemp" sheetId="6" r:id="rId1"/>
    <sheet name="Fjärrvärme" sheetId="10" r:id="rId2"/>
    <sheet name="Värme1 rad" sheetId="11" r:id="rId3"/>
    <sheet name="Effekt" sheetId="12" r:id="rId4"/>
    <sheet name="Online data" sheetId="5" r:id="rId5"/>
    <sheet name="Webblänkar" sheetId="1" r:id="rId6"/>
    <sheet name="Kontaktinfo" sheetId="4" r:id="rId7"/>
    <sheet name="Old Kontaktinformation 090201" sheetId="2" r:id="rId8"/>
    <sheet name="Värmekurva log" sheetId="3" r:id="rId9"/>
    <sheet name="Internal data" sheetId="9" r:id="rId10"/>
  </sheets>
  <definedNames>
    <definedName name="Report_VAS_raw" localSheetId="4">'Online data'!$A$6:$BX$42</definedName>
  </definedNames>
  <calcPr calcId="125725"/>
  <customWorkbookViews>
    <customWorkbookView name="Mats Backstrom - Personal View" guid="{569C1088-C035-4C56-B055-7F9ECA012A09}" mergeInterval="0" personalView="1" maximized="1" windowWidth="1676" windowHeight="851" activeSheetId="1"/>
  </customWorkbookViews>
</workbook>
</file>

<file path=xl/calcChain.xml><?xml version="1.0" encoding="utf-8"?>
<calcChain xmlns="http://schemas.openxmlformats.org/spreadsheetml/2006/main">
  <c r="AO42" i="5"/>
  <c r="AX42"/>
  <c r="BD42"/>
  <c r="A3" i="9"/>
  <c r="B3"/>
  <c r="C3"/>
  <c r="A4"/>
  <c r="B4"/>
  <c r="C4"/>
  <c r="A5"/>
  <c r="B5"/>
  <c r="C5"/>
  <c r="A6"/>
  <c r="B6"/>
  <c r="C6"/>
  <c r="A7"/>
  <c r="B7"/>
  <c r="C7"/>
  <c r="A8"/>
  <c r="B8"/>
  <c r="C8"/>
  <c r="A9"/>
  <c r="B9"/>
  <c r="C9"/>
  <c r="A10"/>
  <c r="B10"/>
  <c r="C10"/>
  <c r="A11"/>
  <c r="B11"/>
  <c r="C11"/>
  <c r="A12"/>
  <c r="B12"/>
  <c r="C12"/>
  <c r="A13"/>
  <c r="B13"/>
  <c r="C13"/>
  <c r="A14"/>
  <c r="B14"/>
  <c r="C14"/>
  <c r="A15"/>
  <c r="B15"/>
  <c r="C15"/>
  <c r="A16"/>
  <c r="B16"/>
  <c r="C16"/>
  <c r="A17"/>
  <c r="B17"/>
  <c r="C17"/>
  <c r="A18"/>
  <c r="B18"/>
  <c r="C18"/>
  <c r="A19"/>
  <c r="B19"/>
  <c r="C19"/>
  <c r="A20"/>
  <c r="B20"/>
  <c r="C20"/>
  <c r="A21"/>
  <c r="B21"/>
  <c r="C21"/>
  <c r="A22"/>
  <c r="B22"/>
  <c r="C22"/>
  <c r="A23"/>
  <c r="B23"/>
  <c r="C23"/>
  <c r="A24"/>
  <c r="B24"/>
  <c r="C24"/>
  <c r="A25"/>
  <c r="B25"/>
  <c r="C25"/>
  <c r="G48" i="2"/>
  <c r="G50"/>
  <c r="G51"/>
  <c r="G53"/>
  <c r="G54"/>
  <c r="G55"/>
  <c r="G56"/>
  <c r="G58"/>
  <c r="G59"/>
  <c r="G60"/>
  <c r="G61"/>
  <c r="G62"/>
  <c r="G63"/>
  <c r="G64"/>
  <c r="G65"/>
  <c r="C15" i="1"/>
  <c r="D15"/>
  <c r="E15"/>
  <c r="F15"/>
  <c r="I15"/>
  <c r="J15"/>
  <c r="K15"/>
  <c r="L15"/>
  <c r="C16"/>
  <c r="D16"/>
  <c r="E16"/>
  <c r="F16"/>
  <c r="I16"/>
  <c r="J16"/>
  <c r="K16"/>
  <c r="L16"/>
  <c r="C17"/>
  <c r="D17"/>
  <c r="E17"/>
  <c r="F17"/>
  <c r="I17"/>
  <c r="J17"/>
  <c r="K17"/>
  <c r="L17"/>
  <c r="C18"/>
  <c r="D18"/>
  <c r="E18"/>
  <c r="F18"/>
  <c r="I18"/>
  <c r="J18"/>
  <c r="K18"/>
  <c r="L18"/>
  <c r="C19"/>
  <c r="D19"/>
  <c r="E19"/>
  <c r="F19"/>
  <c r="I19"/>
  <c r="J19"/>
  <c r="K19"/>
  <c r="L19"/>
  <c r="C20"/>
  <c r="D20"/>
  <c r="E20"/>
  <c r="F20"/>
  <c r="G20"/>
  <c r="I20"/>
  <c r="J20"/>
  <c r="K20"/>
  <c r="L20"/>
  <c r="C21"/>
  <c r="D21"/>
  <c r="E21"/>
  <c r="F21"/>
  <c r="I21"/>
  <c r="J21"/>
  <c r="K21"/>
  <c r="L21"/>
  <c r="C22"/>
  <c r="D22"/>
  <c r="E22"/>
  <c r="F22"/>
  <c r="G22"/>
  <c r="H22"/>
  <c r="I22"/>
  <c r="J22"/>
  <c r="K22"/>
  <c r="L22"/>
  <c r="C23"/>
  <c r="D23"/>
  <c r="E23"/>
  <c r="F23"/>
  <c r="I23"/>
  <c r="J23"/>
  <c r="K23"/>
  <c r="L23"/>
  <c r="C24"/>
  <c r="D24"/>
  <c r="E24"/>
  <c r="F24"/>
  <c r="G24"/>
  <c r="I24"/>
  <c r="J24"/>
  <c r="K24"/>
  <c r="L24"/>
  <c r="C25"/>
  <c r="D25"/>
  <c r="E25"/>
  <c r="F25"/>
  <c r="G25"/>
  <c r="I25"/>
  <c r="J25"/>
  <c r="K25"/>
  <c r="L25"/>
  <c r="C26"/>
  <c r="D26"/>
  <c r="E26"/>
  <c r="F26"/>
  <c r="I26"/>
  <c r="J26"/>
  <c r="K26"/>
  <c r="L26"/>
  <c r="C27"/>
  <c r="D27"/>
  <c r="E27"/>
  <c r="F27"/>
  <c r="G27"/>
  <c r="I27"/>
  <c r="J27"/>
  <c r="K27"/>
  <c r="L27"/>
  <c r="C28"/>
  <c r="D28"/>
  <c r="E28"/>
  <c r="F28"/>
  <c r="I28"/>
  <c r="J28"/>
  <c r="K28"/>
  <c r="L28"/>
  <c r="C29"/>
  <c r="D29"/>
  <c r="E29"/>
  <c r="F29"/>
  <c r="I29"/>
  <c r="J29"/>
  <c r="K29"/>
  <c r="L29"/>
  <c r="C30"/>
  <c r="D30"/>
  <c r="E30"/>
  <c r="F30"/>
  <c r="I30"/>
  <c r="J30"/>
  <c r="K30"/>
  <c r="L30"/>
  <c r="C33"/>
  <c r="D33"/>
  <c r="E33"/>
  <c r="F33"/>
  <c r="G33"/>
  <c r="I33"/>
  <c r="J33"/>
  <c r="K33"/>
  <c r="L33"/>
  <c r="C34"/>
  <c r="D34"/>
  <c r="E34"/>
  <c r="F34"/>
  <c r="I34"/>
  <c r="J34"/>
  <c r="K34"/>
  <c r="L34"/>
  <c r="C35"/>
  <c r="D35"/>
  <c r="E35"/>
  <c r="F35"/>
  <c r="I35"/>
  <c r="J35"/>
  <c r="K35"/>
  <c r="L35"/>
  <c r="C36"/>
  <c r="D36"/>
  <c r="E36"/>
  <c r="F36"/>
  <c r="I36"/>
  <c r="J36"/>
  <c r="K36"/>
  <c r="L36"/>
  <c r="C37"/>
  <c r="D37"/>
  <c r="E37"/>
  <c r="F37"/>
  <c r="I37"/>
  <c r="J37"/>
  <c r="K37"/>
  <c r="L37"/>
  <c r="C38"/>
  <c r="D38"/>
  <c r="E38"/>
  <c r="F38"/>
  <c r="I38"/>
  <c r="J38"/>
  <c r="K38"/>
  <c r="L38"/>
  <c r="C39"/>
  <c r="D39"/>
  <c r="E39"/>
  <c r="F39"/>
  <c r="I39"/>
  <c r="J39"/>
  <c r="K39"/>
  <c r="L39"/>
  <c r="I3" i="5"/>
  <c r="J3"/>
  <c r="K3"/>
  <c r="L3"/>
  <c r="N3"/>
  <c r="O3"/>
  <c r="P3"/>
  <c r="R3"/>
  <c r="S3"/>
  <c r="T3"/>
  <c r="U3"/>
  <c r="V3"/>
  <c r="X3"/>
  <c r="Y3"/>
  <c r="Z3"/>
  <c r="AB3"/>
  <c r="AC3"/>
  <c r="AE3"/>
  <c r="AF3"/>
  <c r="AG3"/>
  <c r="AH3"/>
  <c r="AI3"/>
  <c r="J4"/>
  <c r="K4"/>
  <c r="L4"/>
  <c r="N4"/>
  <c r="O4"/>
  <c r="P4"/>
  <c r="R4"/>
  <c r="S4"/>
  <c r="T4"/>
  <c r="U4"/>
  <c r="V4"/>
  <c r="X4"/>
  <c r="Y4"/>
  <c r="Z4"/>
  <c r="AB4"/>
  <c r="AC4"/>
  <c r="AE4"/>
  <c r="AF4"/>
  <c r="AG4"/>
  <c r="AH4"/>
  <c r="AI4"/>
  <c r="AK4"/>
  <c r="AL4"/>
  <c r="AM4"/>
  <c r="AN4"/>
  <c r="AO4"/>
  <c r="J5"/>
  <c r="K5"/>
  <c r="L5"/>
  <c r="N5"/>
  <c r="O5"/>
  <c r="P5"/>
  <c r="R5"/>
  <c r="S5"/>
  <c r="T5"/>
  <c r="U5"/>
  <c r="V5"/>
  <c r="X5"/>
  <c r="Y5"/>
  <c r="Z5"/>
  <c r="AB5"/>
  <c r="AC5"/>
  <c r="AE5"/>
  <c r="AF5"/>
  <c r="AG5"/>
  <c r="AH5"/>
  <c r="AI5"/>
</calcChain>
</file>

<file path=xl/comments1.xml><?xml version="1.0" encoding="utf-8"?>
<comments xmlns="http://schemas.openxmlformats.org/spreadsheetml/2006/main">
  <authors>
    <author>Mats Backstrom</author>
  </authors>
  <commentList>
    <comment ref="H2" authorId="0">
      <text>
        <r>
          <rPr>
            <sz val="8"/>
            <color indexed="81"/>
            <rFont val="Tahoma"/>
            <family val="2"/>
          </rPr>
          <t>Tryck på Online data för att hämta senaste driftdata från alla fjärrvärmecentralerna.</t>
        </r>
      </text>
    </comment>
    <comment ref="J2" authorId="0">
      <text>
        <r>
          <rPr>
            <sz val="8"/>
            <color indexed="81"/>
            <rFont val="Tahoma"/>
            <family val="2"/>
          </rPr>
          <t>Tryck på Online data för att hämta senaste driftdata från alla fjärrvärmecentralerna.</t>
        </r>
      </text>
    </comment>
    <comment ref="G5" authorId="0">
      <text>
        <r>
          <rPr>
            <sz val="8"/>
            <color indexed="81"/>
            <rFont val="Tahoma"/>
            <family val="2"/>
          </rPr>
          <t>Singeln 7:
En shunt på vinden förser huset med ventilationsvärme. Shunten känner rumstemperaturer och stryper om vi skickar ut för varmt vatten.
Det gör alltså inte så mycket om vi har för hög värmekurva.</t>
        </r>
      </text>
    </comment>
    <comment ref="B6" authorId="0">
      <text>
        <r>
          <rPr>
            <b/>
            <sz val="8"/>
            <color indexed="81"/>
            <rFont val="Tahoma"/>
            <family val="2"/>
          </rPr>
          <t>Smyrna 2</t>
        </r>
        <r>
          <rPr>
            <sz val="8"/>
            <color indexed="81"/>
            <rFont val="Tahoma"/>
          </rPr>
          <t xml:space="preserve">
Stort garage, värms av både rad och vent. 
2010-10-26 stängde av element i garaget.
</t>
        </r>
      </text>
    </comment>
    <comment ref="G6" authorId="0">
      <text>
        <r>
          <rPr>
            <sz val="8"/>
            <color indexed="81"/>
            <rFont val="Tahoma"/>
            <family val="2"/>
          </rPr>
          <t>Smyrna 2:
Hetvattenkrets. Ventilation till bilverkstad samt till 4 st trapphus.</t>
        </r>
      </text>
    </comment>
    <comment ref="I7" authorId="0">
      <text>
        <r>
          <rPr>
            <sz val="8"/>
            <color indexed="81"/>
            <rFont val="Tahoma"/>
            <family val="2"/>
          </rPr>
          <t>Stubbekarlen 1:
Exp.larm är inkopplat.</t>
        </r>
      </text>
    </comment>
    <comment ref="B8" authorId="0">
      <text>
        <r>
          <rPr>
            <b/>
            <sz val="8"/>
            <color indexed="81"/>
            <rFont val="Tahoma"/>
            <family val="2"/>
          </rPr>
          <t>Drabanten 14</t>
        </r>
        <r>
          <rPr>
            <sz val="8"/>
            <color indexed="81"/>
            <rFont val="Tahoma"/>
            <family val="2"/>
          </rPr>
          <t xml:space="preserve">
IQHeat refill
Växlare fanns redan på plats.</t>
        </r>
      </text>
    </comment>
    <comment ref="E8" authorId="0">
      <text>
        <r>
          <rPr>
            <sz val="8"/>
            <color indexed="81"/>
            <rFont val="Tahoma"/>
            <family val="2"/>
          </rPr>
          <t>Drabanten 14:
SKD62 TappVV är satt i linjär kurva</t>
        </r>
      </text>
    </comment>
    <comment ref="F8" authorId="0">
      <text>
        <r>
          <rPr>
            <sz val="8"/>
            <color indexed="81"/>
            <rFont val="Tahoma"/>
            <family val="2"/>
          </rPr>
          <t>Drabanten 14:
Värme1 pump är 1-fas och är levererad av Alfa Laval.</t>
        </r>
      </text>
    </comment>
    <comment ref="G8" authorId="0">
      <text>
        <r>
          <rPr>
            <sz val="8"/>
            <color indexed="81"/>
            <rFont val="Tahoma"/>
            <family val="2"/>
          </rPr>
          <t>Drabanten 14:
Styrning av radiator shunt norrsida (mot Kungsgatan).
Pump styrs ej.</t>
        </r>
      </text>
    </comment>
    <comment ref="H8" authorId="0">
      <text>
        <r>
          <rPr>
            <sz val="8"/>
            <color indexed="81"/>
            <rFont val="Tahoma"/>
          </rPr>
          <t>Drabanten14:
Styrning av radiator shunt södersida (innergård).
Pump styrs ej.</t>
        </r>
      </text>
    </comment>
    <comment ref="B9" authorId="0">
      <text>
        <r>
          <rPr>
            <b/>
            <sz val="8"/>
            <color indexed="81"/>
            <rFont val="Tahoma"/>
          </rPr>
          <t xml:space="preserve">Fiskargatan 8
</t>
        </r>
        <r>
          <rPr>
            <sz val="8"/>
            <color indexed="81"/>
            <rFont val="Tahoma"/>
            <family val="2"/>
          </rPr>
          <t>Använder lågflödessytem
Varje radiatorventil är strypt vilket Kräver hög framledningstemperatur. 
Minsta lilla sänkning från kurvan gör att företagen på vinden får det kallt.</t>
        </r>
      </text>
    </comment>
    <comment ref="B10" authorId="0">
      <text>
        <r>
          <rPr>
            <b/>
            <sz val="8"/>
            <color indexed="81"/>
            <rFont val="Tahoma"/>
          </rPr>
          <t xml:space="preserve">Träklotsen
</t>
        </r>
        <r>
          <rPr>
            <sz val="8"/>
            <color indexed="81"/>
            <rFont val="Tahoma"/>
            <family val="2"/>
          </rPr>
          <t>Rumsgivare är placerade mellan proppskåp och taket, visar något för högt värde.</t>
        </r>
        <r>
          <rPr>
            <sz val="8"/>
            <color indexed="81"/>
            <rFont val="Tahoma"/>
          </rPr>
          <t xml:space="preserve">
</t>
        </r>
      </text>
    </comment>
    <comment ref="B12" authorId="0">
      <text>
        <r>
          <rPr>
            <b/>
            <sz val="8"/>
            <color indexed="81"/>
            <rFont val="Tahoma"/>
            <family val="2"/>
          </rPr>
          <t>Päronträdet 15</t>
        </r>
        <r>
          <rPr>
            <sz val="8"/>
            <color indexed="81"/>
            <rFont val="Tahoma"/>
          </rPr>
          <t xml:space="preserve">
Saknar serviceavtal med Alfa Laval.
Rumsgivare sitter inklämmda mellan list och porttelefon.</t>
        </r>
      </text>
    </comment>
    <comment ref="E12" authorId="0">
      <text>
        <r>
          <rPr>
            <sz val="8"/>
            <color indexed="81"/>
            <rFont val="Tahoma"/>
            <family val="2"/>
          </rPr>
          <t>Päronträdet 15:
VVC används för att värma handdukstorkare.</t>
        </r>
      </text>
    </comment>
    <comment ref="F13" authorId="0">
      <text>
        <r>
          <rPr>
            <b/>
            <sz val="8"/>
            <color indexed="81"/>
            <rFont val="Tahoma"/>
            <family val="2"/>
          </rPr>
          <t>Sabbatsberg 22</t>
        </r>
        <r>
          <rPr>
            <sz val="8"/>
            <color indexed="81"/>
            <rFont val="Tahoma"/>
          </rPr>
          <t xml:space="preserve">
Värme1 har 2 st ställdon.
</t>
        </r>
      </text>
    </comment>
    <comment ref="G13" authorId="0">
      <text>
        <r>
          <rPr>
            <sz val="8"/>
            <color indexed="81"/>
            <rFont val="Tahoma"/>
            <family val="2"/>
          </rPr>
          <t>Sabbatsberg 22:
Hetvattenkrets ventilation
Kontor och dagis
Frysskydd löser ut om kurvan är för låg. Lägg 5 grC över Värme1-kurvan.</t>
        </r>
      </text>
    </comment>
    <comment ref="I13" authorId="0">
      <text>
        <r>
          <rPr>
            <sz val="8"/>
            <color indexed="81"/>
            <rFont val="Tahoma"/>
            <family val="2"/>
          </rPr>
          <t>Sabbatsberg 22:
Exp.larm saknas.</t>
        </r>
      </text>
    </comment>
    <comment ref="E14" authorId="0">
      <text>
        <r>
          <rPr>
            <sz val="8"/>
            <color indexed="81"/>
            <rFont val="Tahoma"/>
            <family val="2"/>
          </rPr>
          <t xml:space="preserve">Båtsmannen M13:
Handdukstorkar ligger på VVC-slingan.
</t>
        </r>
      </text>
    </comment>
    <comment ref="F14" authorId="0">
      <text>
        <r>
          <rPr>
            <sz val="8"/>
            <color indexed="81"/>
            <rFont val="Tahoma"/>
            <family val="2"/>
          </rPr>
          <t>Båtsmannen M13:
Golvvärme finns i någon enstaka lägenhet.</t>
        </r>
      </text>
    </comment>
    <comment ref="F17" authorId="0">
      <text>
        <r>
          <rPr>
            <b/>
            <sz val="8"/>
            <color indexed="81"/>
            <rFont val="Tahoma"/>
            <family val="2"/>
          </rPr>
          <t>Fågelbärsträdet:</t>
        </r>
        <r>
          <rPr>
            <sz val="8"/>
            <color indexed="81"/>
            <rFont val="Tahoma"/>
          </rPr>
          <t xml:space="preserve">
Exp.larm är ej inkopplat.
Men kan eventuellt kopplas in (gamla grejer)
</t>
        </r>
      </text>
    </comment>
    <comment ref="E18" authorId="0">
      <text>
        <r>
          <rPr>
            <b/>
            <sz val="8"/>
            <color indexed="81"/>
            <rFont val="Tahoma"/>
            <family val="2"/>
          </rPr>
          <t>Valkyrian 24:</t>
        </r>
        <r>
          <rPr>
            <sz val="8"/>
            <color indexed="81"/>
            <rFont val="Tahoma"/>
          </rPr>
          <t xml:space="preserve">
TappVV
Ställdon och ventil är
av typ Siemens Magnetic </t>
        </r>
      </text>
    </comment>
    <comment ref="E19" authorId="0">
      <text>
        <r>
          <rPr>
            <b/>
            <sz val="8"/>
            <color indexed="81"/>
            <rFont val="Tahoma"/>
          </rPr>
          <t>Nattvakten:</t>
        </r>
        <r>
          <rPr>
            <sz val="8"/>
            <color indexed="81"/>
            <rFont val="Tahoma"/>
          </rPr>
          <t xml:space="preserve">
Tryckstyrd VVC-pump
</t>
        </r>
      </text>
    </comment>
    <comment ref="E20" authorId="0">
      <text>
        <r>
          <rPr>
            <b/>
            <sz val="8"/>
            <color indexed="81"/>
            <rFont val="Tahoma"/>
          </rPr>
          <t xml:space="preserve">Vagnhallen 16:
</t>
        </r>
        <r>
          <rPr>
            <sz val="8"/>
            <color indexed="81"/>
            <rFont val="Tahoma"/>
            <family val="2"/>
          </rPr>
          <t>Magnetic = linjär kurva.
Kalibrerades 2010-04-07</t>
        </r>
      </text>
    </comment>
    <comment ref="F20" authorId="0">
      <text>
        <r>
          <rPr>
            <b/>
            <sz val="8"/>
            <color indexed="81"/>
            <rFont val="Tahoma"/>
          </rPr>
          <t xml:space="preserve">Vagnhallen 16:
</t>
        </r>
        <r>
          <rPr>
            <sz val="8"/>
            <color indexed="81"/>
            <rFont val="Tahoma"/>
            <family val="2"/>
          </rPr>
          <t>Ventilation till hela huset.
Har återvinning av frånluft.
Ventilationen startar 05:30 och stannar 22:00 (efter att gymmet stängt)</t>
        </r>
      </text>
    </comment>
    <comment ref="B21" authorId="0">
      <text>
        <r>
          <rPr>
            <b/>
            <sz val="8"/>
            <color indexed="81"/>
            <rFont val="Tahoma"/>
          </rPr>
          <t xml:space="preserve">Magdalena 2
</t>
        </r>
        <r>
          <rPr>
            <sz val="8"/>
            <color indexed="81"/>
            <rFont val="Tahoma"/>
            <family val="2"/>
          </rPr>
          <t>Har 5 plan.</t>
        </r>
        <r>
          <rPr>
            <sz val="8"/>
            <color indexed="81"/>
            <rFont val="Tahoma"/>
          </rPr>
          <t xml:space="preserve">
</t>
        </r>
      </text>
    </comment>
    <comment ref="F21" authorId="0">
      <text>
        <r>
          <rPr>
            <b/>
            <sz val="8"/>
            <color indexed="81"/>
            <rFont val="Tahoma"/>
          </rPr>
          <t xml:space="preserve">Magdalena:
</t>
        </r>
        <r>
          <rPr>
            <sz val="8"/>
            <color indexed="81"/>
            <rFont val="Tahoma"/>
            <family val="2"/>
          </rPr>
          <t>Exp.larm är inkopplat.</t>
        </r>
      </text>
    </comment>
    <comment ref="C22" authorId="0">
      <text>
        <r>
          <rPr>
            <b/>
            <sz val="8"/>
            <color indexed="81"/>
            <rFont val="Tahoma"/>
          </rPr>
          <t xml:space="preserve">Härden 19
</t>
        </r>
        <r>
          <rPr>
            <sz val="8"/>
            <color indexed="81"/>
            <rFont val="Tahoma"/>
            <family val="2"/>
          </rPr>
          <t xml:space="preserve">Båda rumsgivarna är kalibrerade -1 grC.
</t>
        </r>
      </text>
    </comment>
    <comment ref="H22" authorId="0">
      <text>
        <r>
          <rPr>
            <b/>
            <sz val="8"/>
            <color indexed="81"/>
            <rFont val="Tahoma"/>
          </rPr>
          <t xml:space="preserve">Härden 19
</t>
        </r>
        <r>
          <rPr>
            <sz val="8"/>
            <color indexed="81"/>
            <rFont val="Tahoma"/>
            <family val="2"/>
          </rPr>
          <t xml:space="preserve">Det ligger även en ventilationsgrupp kopplad till Värmekrets3.
</t>
        </r>
      </text>
    </comment>
    <comment ref="F24" authorId="0">
      <text>
        <r>
          <rPr>
            <b/>
            <sz val="8"/>
            <color indexed="81"/>
            <rFont val="Tahoma"/>
          </rPr>
          <t xml:space="preserve">Flygaren 15-16
</t>
        </r>
        <r>
          <rPr>
            <sz val="8"/>
            <color indexed="81"/>
            <rFont val="Tahoma"/>
            <family val="2"/>
          </rPr>
          <t xml:space="preserve">Exp.kärl larm är inkopplat för Värme1.
</t>
        </r>
      </text>
    </comment>
    <comment ref="G24" authorId="0">
      <text>
        <r>
          <rPr>
            <b/>
            <sz val="8"/>
            <color indexed="81"/>
            <rFont val="Tahoma"/>
          </rPr>
          <t xml:space="preserve">Flygaren 15-16
</t>
        </r>
        <r>
          <rPr>
            <sz val="8"/>
            <color indexed="81"/>
            <rFont val="Tahoma"/>
            <family val="2"/>
          </rPr>
          <t xml:space="preserve">Exp.kärl larm är inkopplat för Värme2.
</t>
        </r>
      </text>
    </comment>
    <comment ref="B25" authorId="0">
      <text>
        <r>
          <rPr>
            <b/>
            <sz val="8"/>
            <color indexed="81"/>
            <rFont val="Tahoma"/>
          </rPr>
          <t xml:space="preserve">Stockholmshus 25
</t>
        </r>
        <r>
          <rPr>
            <sz val="8"/>
            <color indexed="81"/>
            <rFont val="Tahoma"/>
            <family val="2"/>
          </rPr>
          <t>3 st IQHeat refill
Använder gamla LG-växlare med äldre Forta-ventiler. 
Ställdonen är nya TAC M800.</t>
        </r>
        <r>
          <rPr>
            <b/>
            <sz val="8"/>
            <color indexed="81"/>
            <rFont val="Tahoma"/>
          </rPr>
          <t xml:space="preserve">
</t>
        </r>
        <r>
          <rPr>
            <sz val="8"/>
            <color indexed="81"/>
            <rFont val="Tahoma"/>
          </rPr>
          <t xml:space="preserve">
</t>
        </r>
      </text>
    </comment>
    <comment ref="F25" authorId="0">
      <text>
        <r>
          <rPr>
            <b/>
            <sz val="8"/>
            <color indexed="81"/>
            <rFont val="Tahoma"/>
            <family val="2"/>
          </rPr>
          <t>Stockholmshus 25 UC14</t>
        </r>
        <r>
          <rPr>
            <sz val="8"/>
            <color indexed="81"/>
            <rFont val="Tahoma"/>
            <family val="2"/>
          </rPr>
          <t xml:space="preserve">
Tvillingpump som har 3-lägen (ändras manuellt).
Saknar 0-10V.
Värme1 Expansionslarm är inkopplad till DUC.</t>
        </r>
      </text>
    </comment>
    <comment ref="G25" authorId="0">
      <text>
        <r>
          <rPr>
            <b/>
            <sz val="8"/>
            <color indexed="81"/>
            <rFont val="Tahoma"/>
          </rPr>
          <t xml:space="preserve">UC14
</t>
        </r>
        <r>
          <rPr>
            <sz val="8"/>
            <color indexed="81"/>
            <rFont val="Tahoma"/>
            <family val="2"/>
          </rPr>
          <t>Ventilation till Garage</t>
        </r>
        <r>
          <rPr>
            <b/>
            <sz val="8"/>
            <color indexed="81"/>
            <rFont val="Tahoma"/>
          </rPr>
          <t xml:space="preserve">
</t>
        </r>
        <r>
          <rPr>
            <sz val="8"/>
            <color indexed="81"/>
            <rFont val="Tahoma"/>
          </rPr>
          <t xml:space="preserve">
</t>
        </r>
      </text>
    </comment>
    <comment ref="F26" authorId="0">
      <text>
        <r>
          <rPr>
            <b/>
            <sz val="8"/>
            <color indexed="81"/>
            <rFont val="Tahoma"/>
          </rPr>
          <t xml:space="preserve">UC28
</t>
        </r>
        <r>
          <rPr>
            <sz val="8"/>
            <color indexed="81"/>
            <rFont val="Tahoma"/>
            <family val="2"/>
          </rPr>
          <t>Värme1 Pump styrs med 0-10V via
Värme1 Ställdon2 (sekvensventil).
Ändras via Värme1 kurva Ställdon2.
Ställdon2 måste stå i manuellt läge.
0% = minsta möjliga flöde.
100% = Högsta möjliga flöde.
Värme1 Expansionslarm är inkopplad till DUC.</t>
        </r>
      </text>
    </comment>
    <comment ref="F27" authorId="0">
      <text>
        <r>
          <rPr>
            <b/>
            <sz val="8"/>
            <color indexed="81"/>
            <rFont val="Tahoma"/>
          </rPr>
          <t xml:space="preserve">UC78
</t>
        </r>
        <r>
          <rPr>
            <sz val="8"/>
            <color indexed="81"/>
            <rFont val="Tahoma"/>
            <family val="2"/>
          </rPr>
          <t>Värme1</t>
        </r>
        <r>
          <rPr>
            <b/>
            <sz val="8"/>
            <color indexed="81"/>
            <rFont val="Tahoma"/>
          </rPr>
          <t xml:space="preserve"> </t>
        </r>
        <r>
          <rPr>
            <sz val="8"/>
            <color indexed="81"/>
            <rFont val="Tahoma"/>
            <family val="2"/>
          </rPr>
          <t>Pump styrs med 0-10V via
Värme1 Ställdon2 (sekvensventil).
Ändras via Värme1 kurva Ställdon2.
Ställdon2 måste stå i manuellt läge.
0% = minsta möjliga flöde.
100% = Högsta möjliga flöde.
Värme1 Expansionslarm är inkopplad till DUC.</t>
        </r>
      </text>
    </comment>
    <comment ref="G27" authorId="0">
      <text>
        <r>
          <rPr>
            <b/>
            <sz val="8"/>
            <color indexed="81"/>
            <rFont val="Tahoma"/>
          </rPr>
          <t xml:space="preserve">UC78
</t>
        </r>
        <r>
          <rPr>
            <sz val="8"/>
            <color indexed="81"/>
            <rFont val="Tahoma"/>
            <family val="2"/>
          </rPr>
          <t xml:space="preserve">Ventilation till föreningslokal och butik.
</t>
        </r>
      </text>
    </comment>
    <comment ref="B33" authorId="0">
      <text>
        <r>
          <rPr>
            <b/>
            <sz val="8"/>
            <color indexed="81"/>
            <rFont val="Tahoma"/>
          </rPr>
          <t xml:space="preserve">Jupiter UC 0
</t>
        </r>
        <r>
          <rPr>
            <sz val="8"/>
            <color indexed="81"/>
            <rFont val="Tahoma"/>
            <family val="2"/>
          </rPr>
          <t>Inga lägenheter.
Konsumhuset + sekond hand butik.</t>
        </r>
      </text>
    </comment>
    <comment ref="B34" authorId="0">
      <text>
        <r>
          <rPr>
            <b/>
            <sz val="8"/>
            <color indexed="81"/>
            <rFont val="Tahoma"/>
          </rPr>
          <t xml:space="preserve">Jupiter UC 6
</t>
        </r>
        <r>
          <rPr>
            <sz val="8"/>
            <color indexed="81"/>
            <rFont val="Tahoma"/>
            <family val="2"/>
          </rPr>
          <t xml:space="preserve">Betjänar uppgång 39-61.
</t>
        </r>
      </text>
    </comment>
    <comment ref="B35" authorId="0">
      <text>
        <r>
          <rPr>
            <b/>
            <sz val="8"/>
            <color indexed="81"/>
            <rFont val="Tahoma"/>
          </rPr>
          <t xml:space="preserve">Jupiter UC 7 (låghus)
</t>
        </r>
        <r>
          <rPr>
            <sz val="8"/>
            <color indexed="81"/>
            <rFont val="Tahoma"/>
            <family val="2"/>
          </rPr>
          <t xml:space="preserve">Betjänar uppgång 25-37.
</t>
        </r>
      </text>
    </comment>
    <comment ref="B37" authorId="0">
      <text>
        <r>
          <rPr>
            <b/>
            <sz val="8"/>
            <color indexed="81"/>
            <rFont val="Tahoma"/>
          </rPr>
          <t xml:space="preserve">Jupiter UC 9 
</t>
        </r>
        <r>
          <rPr>
            <sz val="8"/>
            <color indexed="81"/>
            <rFont val="Tahoma"/>
            <family val="2"/>
          </rPr>
          <t xml:space="preserve">
Betjänar uppgång 13-23.</t>
        </r>
        <r>
          <rPr>
            <b/>
            <sz val="8"/>
            <color indexed="81"/>
            <rFont val="Tahoma"/>
          </rPr>
          <t xml:space="preserve">
</t>
        </r>
      </text>
    </comment>
    <comment ref="B43" authorId="0">
      <text>
        <r>
          <rPr>
            <b/>
            <sz val="8"/>
            <color indexed="81"/>
            <rFont val="Tahoma"/>
          </rPr>
          <t xml:space="preserve">Ollarsbo 14
</t>
        </r>
        <r>
          <rPr>
            <sz val="8"/>
            <color indexed="81"/>
            <rFont val="Tahoma"/>
            <family val="2"/>
          </rPr>
          <t>50-tals hus med dåliga fönster.</t>
        </r>
        <r>
          <rPr>
            <sz val="8"/>
            <color indexed="81"/>
            <rFont val="Tahoma"/>
          </rPr>
          <t xml:space="preserve">
</t>
        </r>
      </text>
    </comment>
    <comment ref="B44" authorId="0">
      <text>
        <r>
          <rPr>
            <b/>
            <sz val="8"/>
            <color indexed="81"/>
            <rFont val="Tahoma"/>
          </rPr>
          <t xml:space="preserve">Jämtbo 21
</t>
        </r>
        <r>
          <rPr>
            <sz val="8"/>
            <color indexed="81"/>
            <rFont val="Tahoma"/>
            <family val="2"/>
          </rPr>
          <t xml:space="preserve">50-tals hus med dåliga fönster.
</t>
        </r>
      </text>
    </comment>
    <comment ref="B45" authorId="0">
      <text>
        <r>
          <rPr>
            <b/>
            <sz val="8"/>
            <color indexed="81"/>
            <rFont val="Tahoma"/>
          </rPr>
          <t xml:space="preserve">Skogsbo 32:2
</t>
        </r>
        <r>
          <rPr>
            <sz val="8"/>
            <color indexed="81"/>
            <rFont val="Tahoma"/>
            <family val="2"/>
          </rPr>
          <t xml:space="preserve">50-tals hus med dåliga fönster.
</t>
        </r>
      </text>
    </comment>
    <comment ref="G46" authorId="0">
      <text>
        <r>
          <rPr>
            <b/>
            <sz val="8"/>
            <color indexed="81"/>
            <rFont val="Tahoma"/>
          </rPr>
          <t xml:space="preserve">Aaltohuset
</t>
        </r>
        <r>
          <rPr>
            <sz val="8"/>
            <color indexed="81"/>
            <rFont val="Tahoma"/>
            <family val="2"/>
          </rPr>
          <t>Ventilation till SJ med återvinning av frånluft.
Dom börjar arbeta kl 4 på morgonen.</t>
        </r>
        <r>
          <rPr>
            <sz val="8"/>
            <color indexed="81"/>
            <rFont val="Tahoma"/>
          </rPr>
          <t xml:space="preserve">
Stor yta, det sitter 10 st man på 800 m2.</t>
        </r>
      </text>
    </comment>
    <comment ref="C48" authorId="0">
      <text>
        <r>
          <rPr>
            <sz val="8"/>
            <color indexed="81"/>
            <rFont val="Tahoma"/>
            <family val="2"/>
          </rPr>
          <t>Klicka här om du har problem med att Internet Explorer ej sparar inloggningsuppgifter. Skärmdumpar 0,3 MB.</t>
        </r>
      </text>
    </comment>
    <comment ref="E48" authorId="0">
      <text>
        <r>
          <rPr>
            <sz val="8"/>
            <color indexed="81"/>
            <rFont val="Tahoma"/>
            <family val="2"/>
          </rPr>
          <t>Klicka här för IQHeat produktpresentation. PDF-fil på 3 MB.</t>
        </r>
      </text>
    </comment>
  </commentList>
</comments>
</file>

<file path=xl/connections.xml><?xml version="1.0" encoding="utf-8"?>
<connections xmlns="http://schemas.openxmlformats.org/spreadsheetml/2006/main">
  <connection id="1" interval="15" name="Connection" type="4" reconnectionMethod="2" refreshedVersion="3" background="1" refreshOnLoad="1" saveData="1">
    <webPr sourceData="1" parsePre="1" consecutive="1" xl2000="1" url="http://www.iqheat.com/IQHeat_Siemens/Online_Excel/VAS/Report_VAS_raw.txt"/>
  </connection>
</connections>
</file>

<file path=xl/sharedStrings.xml><?xml version="1.0" encoding="utf-8"?>
<sst xmlns="http://schemas.openxmlformats.org/spreadsheetml/2006/main" count="1572" uniqueCount="641">
  <si>
    <t>Karlsvik</t>
  </si>
  <si>
    <t>Flödesbild</t>
  </si>
  <si>
    <t>Flöde</t>
  </si>
  <si>
    <t>Larmlista</t>
  </si>
  <si>
    <t>Larmhistorik</t>
  </si>
  <si>
    <t>Larmgränser</t>
  </si>
  <si>
    <t>Historik</t>
  </si>
  <si>
    <t>Lista</t>
  </si>
  <si>
    <t>Huvudkrets</t>
  </si>
  <si>
    <t>TappVV</t>
  </si>
  <si>
    <t>Report 100 
(historik)</t>
  </si>
  <si>
    <t>Energi</t>
  </si>
  <si>
    <t>VAS 01</t>
  </si>
  <si>
    <t>VAS 02</t>
  </si>
  <si>
    <t>VAS 03</t>
  </si>
  <si>
    <t>VAS 04</t>
  </si>
  <si>
    <t>VAS 06</t>
  </si>
  <si>
    <t>VAS 07</t>
  </si>
  <si>
    <t>VAS 08</t>
  </si>
  <si>
    <t>johan.johansson@fabamo.se</t>
  </si>
  <si>
    <t>Smyrna 2, Sandhamnsg 36-42</t>
  </si>
  <si>
    <t>Träklotsen 2, Sofielundsv. 1-7</t>
  </si>
  <si>
    <t>0705-211991</t>
  </si>
  <si>
    <t>Stubbekarlen 1, Ormkärrsvägen 76</t>
  </si>
  <si>
    <t>bengt.saberg@gillesvik.se</t>
  </si>
  <si>
    <t>Gränser</t>
  </si>
  <si>
    <t>Johan Eriksson</t>
  </si>
  <si>
    <t>Päronträdet 15</t>
  </si>
  <si>
    <t>Karlsvik 39</t>
  </si>
  <si>
    <t>Träklotsen 2</t>
  </si>
  <si>
    <t>Singeln 7 (Fabamo)</t>
  </si>
  <si>
    <t>Drabanten 14, Kungsg. 71</t>
  </si>
  <si>
    <t>VAS</t>
  </si>
  <si>
    <t>0708-98 67 90</t>
  </si>
  <si>
    <t>Yta</t>
  </si>
  <si>
    <t>Id</t>
  </si>
  <si>
    <t>Fjärrvärme-
central</t>
  </si>
  <si>
    <t>Magnus Bergen</t>
  </si>
  <si>
    <t>Vega Energi</t>
  </si>
  <si>
    <t>0733-27 95 23</t>
  </si>
  <si>
    <t>magnus.bergen@vega-energi.se</t>
  </si>
  <si>
    <t>VAS Kontaktinformation</t>
  </si>
  <si>
    <t>Namn</t>
  </si>
  <si>
    <t>Mail</t>
  </si>
  <si>
    <t>Telefon</t>
  </si>
  <si>
    <t>Mobil</t>
  </si>
  <si>
    <t xml:space="preserve"> 0708-11 25 82</t>
  </si>
  <si>
    <t>08-38 01 92</t>
  </si>
  <si>
    <t>APHOS FÖRVALTNING AB Bogårdsvägen 25, 128 62  SKÖNDAL</t>
  </si>
  <si>
    <t>08-604 02 59</t>
  </si>
  <si>
    <t>08-564 354 07</t>
  </si>
  <si>
    <t>Bengt Säberg</t>
  </si>
  <si>
    <t>0706-01 12 53</t>
  </si>
  <si>
    <t xml:space="preserve">Dick Fraser (Brf Ordf): </t>
  </si>
  <si>
    <t>Stefan Hult  (Fastighetsskötare) onsdagar</t>
  </si>
  <si>
    <t>0703-23 33 33</t>
  </si>
  <si>
    <t xml:space="preserve">Sollentuna Energi, Håkan Berglund </t>
  </si>
  <si>
    <t>0739-425505</t>
  </si>
  <si>
    <t>Magnus Kjällmark</t>
  </si>
  <si>
    <t>kallmark@kth.se</t>
  </si>
  <si>
    <t>0761-497668</t>
  </si>
  <si>
    <t>08-7572668</t>
  </si>
  <si>
    <t>Johan Johansson</t>
  </si>
  <si>
    <t>Fabamo, Singeln 7, Krossgatan 22</t>
  </si>
  <si>
    <t>VAS 09</t>
  </si>
  <si>
    <t>Sabbatsberg 22</t>
  </si>
  <si>
    <t>VAS 10</t>
  </si>
  <si>
    <t>Båtsmannen M13</t>
  </si>
  <si>
    <t>fraser.dick@comhem.se</t>
  </si>
  <si>
    <t>Sabbatsberg</t>
  </si>
  <si>
    <t>070-5869514</t>
  </si>
  <si>
    <t>Birgitta Johansson (ordförande)</t>
  </si>
  <si>
    <t>070-8275671</t>
  </si>
  <si>
    <t>Aphos förvaltning</t>
  </si>
  <si>
    <t>info@aphos.se</t>
  </si>
  <si>
    <t>0733-279511</t>
  </si>
  <si>
    <t>08-7940711</t>
  </si>
  <si>
    <t>Växel</t>
  </si>
  <si>
    <t>08-7940700</t>
  </si>
  <si>
    <t>Mattias Sund</t>
  </si>
  <si>
    <t>0735-179541</t>
  </si>
  <si>
    <t>mattias.sund@vega-energi.se</t>
  </si>
  <si>
    <t>0733-279516</t>
  </si>
  <si>
    <t>Måns Lindström</t>
  </si>
  <si>
    <t>Ansvarig för installationer.</t>
  </si>
  <si>
    <t>Installatör</t>
  </si>
  <si>
    <t>0733-168021</t>
  </si>
  <si>
    <t>VAS11</t>
  </si>
  <si>
    <t>Ragnhildsborg</t>
  </si>
  <si>
    <t>Bertil Eklund</t>
  </si>
  <si>
    <t>Ingalill Seo</t>
  </si>
  <si>
    <t>08-55012177</t>
  </si>
  <si>
    <t>08-55088391</t>
  </si>
  <si>
    <t>bertil_eklund@bredband.net</t>
  </si>
  <si>
    <t>0703-796261</t>
  </si>
  <si>
    <t>Kennet Nilsson (fastighetsskötare)</t>
  </si>
  <si>
    <t>ingalill.seo@bredband.net</t>
  </si>
  <si>
    <t>tony.frey@vega-energi.se</t>
  </si>
  <si>
    <t>Tony Frey</t>
  </si>
  <si>
    <t>Nr</t>
  </si>
  <si>
    <t>Bostadsrättsförening</t>
  </si>
  <si>
    <t>Kontaktperson</t>
  </si>
  <si>
    <t>Tel</t>
  </si>
  <si>
    <t>Fjärrv. kostnad</t>
  </si>
  <si>
    <t>kr/kvm</t>
  </si>
  <si>
    <t>Fågelbärsträdet</t>
  </si>
  <si>
    <t>Gunnar Akner</t>
  </si>
  <si>
    <t>070-620 48 46</t>
  </si>
  <si>
    <t xml:space="preserve">      -  "  -</t>
  </si>
  <si>
    <t>Pia Gillsäter</t>
  </si>
  <si>
    <t>076-8710795</t>
  </si>
  <si>
    <t>08-550 121 77</t>
  </si>
  <si>
    <t>Dick Fraser</t>
  </si>
  <si>
    <t xml:space="preserve">       -  "  -</t>
  </si>
  <si>
    <t>Stefan Hult</t>
  </si>
  <si>
    <t>070-3233333</t>
  </si>
  <si>
    <t>Magnus Källmark</t>
  </si>
  <si>
    <t>076-1497668</t>
  </si>
  <si>
    <t>Båtsmannen M 13</t>
  </si>
  <si>
    <t>Anders Lönegård</t>
  </si>
  <si>
    <t>070-827 56 71</t>
  </si>
  <si>
    <t>0705-21 19 91</t>
  </si>
  <si>
    <t>AFOS</t>
  </si>
  <si>
    <t xml:space="preserve">08-604 02 59 </t>
  </si>
  <si>
    <t xml:space="preserve">         -  "  -</t>
  </si>
  <si>
    <t>Hans Hall, Stadsmuren</t>
  </si>
  <si>
    <t>08-674 03 25</t>
  </si>
  <si>
    <t>Valkyrian</t>
  </si>
  <si>
    <t>Markus Götherström</t>
  </si>
  <si>
    <t>070-783 70 70</t>
  </si>
  <si>
    <t>Jämtbo 21</t>
  </si>
  <si>
    <t>Stefan Sundh</t>
  </si>
  <si>
    <t>070-850 57 16</t>
  </si>
  <si>
    <t>Skogsbo 32:2</t>
  </si>
  <si>
    <t>Orren 10</t>
  </si>
  <si>
    <t>Fiskargatan 8</t>
  </si>
  <si>
    <t>Micke Jaques</t>
  </si>
  <si>
    <t>070-275 88 45</t>
  </si>
  <si>
    <t>Vagnshallen 16</t>
  </si>
  <si>
    <t>Magdalena 2</t>
  </si>
  <si>
    <t>Ewa Lind</t>
  </si>
  <si>
    <t>070-528 44 97</t>
  </si>
  <si>
    <t>Nattvakten 1</t>
  </si>
  <si>
    <t>070-431 48 78</t>
  </si>
  <si>
    <t>mans.lindstrom@vega-energi.se</t>
  </si>
  <si>
    <t>Stubbekarlen 1</t>
  </si>
  <si>
    <t>Smyrna 2</t>
  </si>
  <si>
    <t>Sandhamnsg. 36-42</t>
  </si>
  <si>
    <t>Ormkärrsvägen</t>
  </si>
  <si>
    <t>Kungsgatan 71</t>
  </si>
  <si>
    <t>Drabanten 14</t>
  </si>
  <si>
    <t>Gatuadress</t>
  </si>
  <si>
    <t>VAS 05</t>
  </si>
  <si>
    <t>Fortum</t>
  </si>
  <si>
    <t>Fjärrvärme
leverantör</t>
  </si>
  <si>
    <t>Krossgatan 22</t>
  </si>
  <si>
    <t>Sofielundsv. 1-7</t>
  </si>
  <si>
    <t>Torsgränd 5</t>
  </si>
  <si>
    <t>Folkkungag. 96</t>
  </si>
  <si>
    <t>Ansvarig för driftorganisationen.</t>
  </si>
  <si>
    <t>VAS 11a</t>
  </si>
  <si>
    <t>VAS 11b</t>
  </si>
  <si>
    <t>Ragnhildsborg söder</t>
  </si>
  <si>
    <t>Ragnhildsborg norr</t>
  </si>
  <si>
    <t>Nydalav. 34</t>
  </si>
  <si>
    <t>Nydalav. 109</t>
  </si>
  <si>
    <t>Telge Energi</t>
  </si>
  <si>
    <t>Söder</t>
  </si>
  <si>
    <t>Rad. norr</t>
  </si>
  <si>
    <t>John Ericssonsgatan 16</t>
  </si>
  <si>
    <t>Karlsviksg. 18</t>
  </si>
  <si>
    <t>0708-555 148</t>
  </si>
  <si>
    <t>Jan Asztely</t>
  </si>
  <si>
    <t>Sollentuna Energi</t>
  </si>
  <si>
    <t>Port 15 plan 2 lgh 1:18</t>
  </si>
  <si>
    <t>Port 21 plan 4 lgh 11:2</t>
  </si>
  <si>
    <t>Innegivare 1</t>
  </si>
  <si>
    <t>Innegivare 2</t>
  </si>
  <si>
    <t>Kommentar</t>
  </si>
  <si>
    <t>Hasse</t>
  </si>
  <si>
    <t>Hjälper till med router.</t>
  </si>
  <si>
    <t>lonegard@hotmail.com</t>
  </si>
  <si>
    <t>Fastighetsskötare</t>
  </si>
  <si>
    <t>0705-952174</t>
  </si>
  <si>
    <t>Övrigt</t>
  </si>
  <si>
    <t>Två lägenheter längst upp har golvvärme med egen shunt/styrning. Radiatorer saknas.</t>
  </si>
  <si>
    <t>Nätverk: jan-erik.helmersen@ericsson.com</t>
  </si>
  <si>
    <t>VAS10 Båtsmannen</t>
  </si>
  <si>
    <t>Värmecentral uteT</t>
  </si>
  <si>
    <t>Felplacerade innegivare, sitter ovanför proppskåp.</t>
  </si>
  <si>
    <t>gunnar.akner@comhem.se</t>
  </si>
  <si>
    <t>VAS 12</t>
  </si>
  <si>
    <t>John Ericssonsgatan 6</t>
  </si>
  <si>
    <t>Service</t>
  </si>
  <si>
    <t>VAS12</t>
  </si>
  <si>
    <t>Tidigare satt här nya Cetetherm-värmeväxlare.</t>
  </si>
  <si>
    <t>VAS12 Fågelbärsträdet</t>
  </si>
  <si>
    <t>Päronträdet (egen service, anv. ej Vega).</t>
  </si>
  <si>
    <t>VAS04, Kungsgatan, Värme2</t>
  </si>
  <si>
    <t>VAS04, Kungsgatan, Värme3</t>
  </si>
  <si>
    <t>VAS08 Päronträdet</t>
  </si>
  <si>
    <t>stefan@nattvakten.nu</t>
  </si>
  <si>
    <t>VAS 14</t>
  </si>
  <si>
    <t>hanben@fabamo.se</t>
  </si>
  <si>
    <t>VAS13 Valkyrian</t>
  </si>
  <si>
    <t>Vega</t>
  </si>
  <si>
    <t>Hjälp lösenord</t>
  </si>
  <si>
    <t>Online data</t>
  </si>
  <si>
    <t>IQHeat Presentation</t>
  </si>
  <si>
    <t>www.nattvakten.nu</t>
  </si>
  <si>
    <t>VAS 13</t>
  </si>
  <si>
    <t>Valkyrian 24</t>
  </si>
  <si>
    <t>Dalagatan 39</t>
  </si>
  <si>
    <t>Vespergränd</t>
  </si>
  <si>
    <t>VAS13</t>
  </si>
  <si>
    <t>0706-20 48 46</t>
  </si>
  <si>
    <t>VAS14</t>
  </si>
  <si>
    <t>0704-31 48 78</t>
  </si>
  <si>
    <t>VAS01</t>
  </si>
  <si>
    <t>VAS02</t>
  </si>
  <si>
    <t>VAS07</t>
  </si>
  <si>
    <t>VAS03</t>
  </si>
  <si>
    <t>VAS04</t>
  </si>
  <si>
    <t>VAS06</t>
  </si>
  <si>
    <t>VAS08</t>
  </si>
  <si>
    <t>VAS09</t>
  </si>
  <si>
    <t>VAS10</t>
  </si>
  <si>
    <t>0702-065205</t>
  </si>
  <si>
    <t>Bredband</t>
  </si>
  <si>
    <t>ComHem</t>
  </si>
  <si>
    <t>Bredbandbolaget</t>
  </si>
  <si>
    <t>Bahnhof</t>
  </si>
  <si>
    <t>Skycom</t>
  </si>
  <si>
    <t>Tele2</t>
  </si>
  <si>
    <t>Telia</t>
  </si>
  <si>
    <t>VAS01, Fabamo, Värme2 (Rad)</t>
  </si>
  <si>
    <t>VAS01, Fabamo, Värme1 (vent)</t>
  </si>
  <si>
    <t>0707-624460</t>
  </si>
  <si>
    <t>Plan1, hyresgäst (inside lab) kör med elradiatorer för att få upp värmen.</t>
  </si>
  <si>
    <t>Plan3, Klara papper</t>
  </si>
  <si>
    <t>VAS02, Smyrna, Värme1 (Rad)</t>
  </si>
  <si>
    <t>VAS02, Smyrna, Värme2 (Bilverkstad)</t>
  </si>
  <si>
    <t>VAS03, Ormkärrsv, Värme1 (Rad)</t>
  </si>
  <si>
    <t>VAS03, Ormkärrsv, Värme2 (Vent)</t>
  </si>
  <si>
    <t>VAS07, Karlsvik 39</t>
  </si>
  <si>
    <t>VAS06, Träklotsen 2</t>
  </si>
  <si>
    <t>VAS04, Kungsgatan, Värme1</t>
  </si>
  <si>
    <t>VAS09, Sabbatsberg, Värme1 (Rad)</t>
  </si>
  <si>
    <t>VAS09, Sabbatsberg, Värme2 (vent)</t>
  </si>
  <si>
    <t>Installatör radiogivare: 0707-435366</t>
  </si>
  <si>
    <t>VAS 15</t>
  </si>
  <si>
    <t>VAS 16</t>
  </si>
  <si>
    <t>Jämtbovägen 13</t>
  </si>
  <si>
    <t>St paulsgatan 14</t>
  </si>
  <si>
    <t>Eriksg. 10</t>
  </si>
  <si>
    <t>Avesta</t>
  </si>
  <si>
    <t>Larmjour</t>
  </si>
  <si>
    <t>0746-218 212</t>
  </si>
  <si>
    <t>eller 0733-279521</t>
  </si>
  <si>
    <t>Vid akuta värmeproblem.</t>
  </si>
  <si>
    <t>Ollarsbo 14</t>
  </si>
  <si>
    <t>Åsgårdsv.</t>
  </si>
  <si>
    <t>Vagnhallen 16</t>
  </si>
  <si>
    <t>Sänkte byggnadstidskonst från 20 till 12</t>
  </si>
  <si>
    <t>Klagomål att värmen ej hänger med vid snabba väderomslag.</t>
  </si>
  <si>
    <t>Sänkte influens från 50% till 35%</t>
  </si>
  <si>
    <t>Värme1 pump står på max 12 m.</t>
  </si>
  <si>
    <t>Ändrade pumpen till 4,5m.</t>
  </si>
  <si>
    <t>Uppföljning ändringar av värmekurva</t>
  </si>
  <si>
    <t>2009-01-30 Det blåser in 16 grC. Hörnlägenheter har det kallt.</t>
  </si>
  <si>
    <t>Testade TappVV kp=1,3 ingen skillnad snarare sämre.</t>
  </si>
  <si>
    <t>Testade TappVV kp=1,0 ingen skillnad snarare sämre.</t>
  </si>
  <si>
    <t>Testade TappVV kp=1,0 det blev sämre.</t>
  </si>
  <si>
    <t>VAS14 Nattvakten 1</t>
  </si>
  <si>
    <t>VAS15 Vagnhallen 16 Värme1</t>
  </si>
  <si>
    <t>VAS15 Vagnhallen 16 Värme2</t>
  </si>
  <si>
    <t>Testade TappVV kp=1,3 det blev stabilare reglering.</t>
  </si>
  <si>
    <t>2009-02-16 ej mats</t>
  </si>
  <si>
    <t>2009-02-16 mats</t>
  </si>
  <si>
    <t>stefan@sundhfastigheter.se</t>
  </si>
  <si>
    <t>read</t>
  </si>
  <si>
    <t>write</t>
  </si>
  <si>
    <t xml:space="preserve">Varje rad motsvarar en fjärrvärmecentral. </t>
  </si>
  <si>
    <t>Genom att klicka på länkarna ovan så navigeras användaren till rätt fjärrvärmecentral.</t>
  </si>
  <si>
    <r>
      <t xml:space="preserve">De kolumner som är markerade med </t>
    </r>
    <r>
      <rPr>
        <b/>
        <sz val="10"/>
        <rFont val="Arial"/>
        <family val="2"/>
      </rPr>
      <t>read</t>
    </r>
    <r>
      <rPr>
        <sz val="10"/>
        <rFont val="Arial"/>
      </rPr>
      <t xml:space="preserve"> kan läsas av demo-användare med läsrättighet. </t>
    </r>
  </si>
  <si>
    <r>
      <t xml:space="preserve">Kolumner markerade med </t>
    </r>
    <r>
      <rPr>
        <b/>
        <sz val="10"/>
        <rFont val="Arial"/>
        <family val="2"/>
      </rPr>
      <t>write</t>
    </r>
    <r>
      <rPr>
        <sz val="10"/>
        <rFont val="Arial"/>
      </rPr>
      <t xml:space="preserve"> kräver högre behörighet (rättighet att ändra parametrar).</t>
    </r>
  </si>
  <si>
    <t>Stockholm</t>
  </si>
  <si>
    <t>Jämtlandsg. 151</t>
  </si>
  <si>
    <t>2009-03-26 mats</t>
  </si>
  <si>
    <t>VAS 17</t>
  </si>
  <si>
    <t>Härden 19</t>
  </si>
  <si>
    <t>St Eriksgatan 115</t>
  </si>
  <si>
    <t>TappVarm-
Vatten (kW)</t>
  </si>
  <si>
    <t>Värme 1 (kW)</t>
  </si>
  <si>
    <t>Värme 2 (kW)</t>
  </si>
  <si>
    <t>Värme 3 (kW)</t>
  </si>
  <si>
    <t>TappVV 81</t>
  </si>
  <si>
    <t>Rad. 95</t>
  </si>
  <si>
    <t>Vent. 110</t>
  </si>
  <si>
    <t>TappVV 245</t>
  </si>
  <si>
    <t>Rad. 1000</t>
  </si>
  <si>
    <t>Vent. 100</t>
  </si>
  <si>
    <t>TappVV 151</t>
  </si>
  <si>
    <t>Rad. 252</t>
  </si>
  <si>
    <t>Vent. 60</t>
  </si>
  <si>
    <t>Rad. 375</t>
  </si>
  <si>
    <t>TappVV 207</t>
  </si>
  <si>
    <t>Rad. 450</t>
  </si>
  <si>
    <t>TappVV 107</t>
  </si>
  <si>
    <t>Rad. 155</t>
  </si>
  <si>
    <t>TappVV 235</t>
  </si>
  <si>
    <t>Vent. 75</t>
  </si>
  <si>
    <t>TappVV 132</t>
  </si>
  <si>
    <t>Rad. 260</t>
  </si>
  <si>
    <t>TappVV 104</t>
  </si>
  <si>
    <t>Rad. 147</t>
  </si>
  <si>
    <t>TappVV 169</t>
  </si>
  <si>
    <t>Rad. 457</t>
  </si>
  <si>
    <t>Rad. 322</t>
  </si>
  <si>
    <t>Report 200 Energiförbr.</t>
  </si>
  <si>
    <t>Innegivarna visar runt 25</t>
  </si>
  <si>
    <t>Stängde av värmen på Hotellet och Kontorsdelen.</t>
  </si>
  <si>
    <t>Detta är ett test eftersom det är extra kallt</t>
  </si>
  <si>
    <t>nu i juni.</t>
  </si>
  <si>
    <t>Testet funkade ej för kontordelen.</t>
  </si>
  <si>
    <t xml:space="preserve">Dom har ringt och märkt av att det </t>
  </si>
  <si>
    <t>är kallt.</t>
  </si>
  <si>
    <t>VAS17, Härden 19, Värme2 Ventilation</t>
  </si>
  <si>
    <t>VAS17, Kungsgatan, Värme1 Rad Hotell</t>
  </si>
  <si>
    <t>VAS17, Härden 19, Värme3 Rad kontor</t>
  </si>
  <si>
    <t>Lennart Gehrke</t>
  </si>
  <si>
    <t>lennart.gehrke@vega-energi.se</t>
  </si>
  <si>
    <t>0733-279521</t>
  </si>
  <si>
    <t>Funktionskontroller</t>
  </si>
  <si>
    <t>Smyrna Sandhamnsgatan 36</t>
  </si>
  <si>
    <t>Malin Biehl  ( APHOS )</t>
  </si>
  <si>
    <t>malin.biehl@aphos.se</t>
  </si>
  <si>
    <t>APHOS  Bogårdsvägen 25</t>
  </si>
  <si>
    <t>08-6040259</t>
  </si>
  <si>
    <t>Gillesvik</t>
  </si>
  <si>
    <t>Micke@gillesvik.se</t>
  </si>
  <si>
    <t xml:space="preserve"> 070-275 88 45 I</t>
  </si>
  <si>
    <t>08-56435403</t>
  </si>
  <si>
    <t>Kontaktperson 1</t>
  </si>
  <si>
    <t>Fastighetsägarna/Lars Blixt</t>
  </si>
  <si>
    <t>lars.blixt@stofast.se</t>
  </si>
  <si>
    <t xml:space="preserve">070/417 76 43 </t>
  </si>
  <si>
    <t xml:space="preserve">Sollentuna Energi, H.Berglund </t>
  </si>
  <si>
    <t>hakan.berglund@sollentunaenergi.se</t>
  </si>
  <si>
    <t>jan.asztely@bredband.net</t>
  </si>
  <si>
    <t>Johan.Eriksson@kraftkultur.com</t>
  </si>
  <si>
    <t>Malin Biehl</t>
  </si>
  <si>
    <t xml:space="preserve"> 070-461 61 88</t>
  </si>
  <si>
    <t>08 604 02 59</t>
  </si>
  <si>
    <t>geparden@spray.se</t>
  </si>
  <si>
    <t>Ekonomisk rådgivare</t>
  </si>
  <si>
    <t>VAS15</t>
  </si>
  <si>
    <t>VAS16</t>
  </si>
  <si>
    <t>Ewa.Lind@upplands-bro.se</t>
  </si>
  <si>
    <t>070-5284497</t>
  </si>
  <si>
    <t>VAS17</t>
  </si>
  <si>
    <t>AFA fastigheter</t>
  </si>
  <si>
    <t>Olle Berntson</t>
  </si>
  <si>
    <t>olle.berntson@afaforsakring.se</t>
  </si>
  <si>
    <t>0708-939503</t>
  </si>
  <si>
    <t>Kontakt på Hotellet är Håkan</t>
  </si>
  <si>
    <t>Håkan Seidl</t>
  </si>
  <si>
    <t>hakan.seidl@riba.se</t>
  </si>
  <si>
    <t>070-8502470</t>
  </si>
  <si>
    <t>Kontakt på Riba Fastighetsförvaltning</t>
  </si>
  <si>
    <t>Peter Gibbson</t>
  </si>
  <si>
    <t>peter.gibbson@riba.se</t>
  </si>
  <si>
    <t>0708-502458</t>
  </si>
  <si>
    <t>VAS18</t>
  </si>
  <si>
    <t>Vårt hus 1</t>
  </si>
  <si>
    <t>Agne Svenberg</t>
  </si>
  <si>
    <t>agne.svenberg@oem.se</t>
  </si>
  <si>
    <t>0708-371215</t>
  </si>
  <si>
    <t>Andreas Linde</t>
  </si>
  <si>
    <t>andreas@slinde.se</t>
  </si>
  <si>
    <t>0733-400380</t>
  </si>
  <si>
    <t>0708-50 57 16</t>
  </si>
  <si>
    <t>08-84 70 50</t>
  </si>
  <si>
    <t>Ägare</t>
  </si>
  <si>
    <t>Skogsbo 32-2</t>
  </si>
  <si>
    <t>Aaltohuset</t>
  </si>
  <si>
    <t>Elektriker</t>
  </si>
  <si>
    <t>0703-782032</t>
  </si>
  <si>
    <t>Rad. 510</t>
  </si>
  <si>
    <t>Vent. 140</t>
  </si>
  <si>
    <t>VAS 18</t>
  </si>
  <si>
    <t>Vårt hus nr 1</t>
  </si>
  <si>
    <t>Ownit</t>
  </si>
  <si>
    <t>Rad.</t>
  </si>
  <si>
    <t>Bergslagsv. 36 lgh36 2tr</t>
  </si>
  <si>
    <t>Kungsg. 2e Lgh40 8tr</t>
  </si>
  <si>
    <t>Kungsgatan och Bergslagsv.</t>
  </si>
  <si>
    <t>0707-360446</t>
  </si>
  <si>
    <t>VAS05, Fiskarg. 8</t>
  </si>
  <si>
    <t>Sänkte parallell från 23 till 21</t>
  </si>
  <si>
    <t>peter@sundhfastigheter.se</t>
  </si>
  <si>
    <t>Peter</t>
  </si>
  <si>
    <t>Robert Eckerstedt</t>
  </si>
  <si>
    <t>0705-720168</t>
  </si>
  <si>
    <t>2009 vår</t>
  </si>
  <si>
    <t>Värtav. 16</t>
  </si>
  <si>
    <t>Obj</t>
  </si>
  <si>
    <t>Stad</t>
  </si>
  <si>
    <t>Effekt</t>
  </si>
  <si>
    <t>Datum</t>
  </si>
  <si>
    <t>Tid</t>
  </si>
  <si>
    <t>Ute</t>
  </si>
  <si>
    <t>Rum1</t>
  </si>
  <si>
    <t>Rum2</t>
  </si>
  <si>
    <t>VVC</t>
  </si>
  <si>
    <t xml:space="preserve"> </t>
  </si>
  <si>
    <t>-</t>
  </si>
  <si>
    <t>Smyrna</t>
  </si>
  <si>
    <t>Ormkärrsv.</t>
  </si>
  <si>
    <t>Drabanten</t>
  </si>
  <si>
    <t>Sollentuna</t>
  </si>
  <si>
    <t>Päronträdet</t>
  </si>
  <si>
    <t>#08-10</t>
  </si>
  <si>
    <t>#08-11a</t>
  </si>
  <si>
    <t>#08-11b</t>
  </si>
  <si>
    <t>#08-12</t>
  </si>
  <si>
    <t>#08-13</t>
  </si>
  <si>
    <t>#08-14</t>
  </si>
  <si>
    <t>#08-15</t>
  </si>
  <si>
    <t>#08-16</t>
  </si>
  <si>
    <t>#08-17</t>
  </si>
  <si>
    <t>#08-18</t>
  </si>
  <si>
    <t>Vårt Hus1</t>
  </si>
  <si>
    <t>#0226-01</t>
  </si>
  <si>
    <t>Ollarsbo</t>
  </si>
  <si>
    <t>#0226-02</t>
  </si>
  <si>
    <t>#0226-03</t>
  </si>
  <si>
    <t>Skogsbo</t>
  </si>
  <si>
    <t>#0226-04</t>
  </si>
  <si>
    <t>Antal 
Larm</t>
  </si>
  <si>
    <t>Fram</t>
  </si>
  <si>
    <t>Retur</t>
  </si>
  <si>
    <t>Delta</t>
  </si>
  <si>
    <t>Ventil</t>
  </si>
  <si>
    <t>prim
ret</t>
  </si>
  <si>
    <t>VV</t>
  </si>
  <si>
    <t>Fjärrvärme</t>
  </si>
  <si>
    <t>Värmekrets 2</t>
  </si>
  <si>
    <t>Värmekrets 1</t>
  </si>
  <si>
    <t>Värmekrets 3</t>
  </si>
  <si>
    <t>Värmecentral</t>
  </si>
  <si>
    <t>IQHeat Excel Online</t>
  </si>
  <si>
    <t>Webb-länkar</t>
  </si>
  <si>
    <t>Södertälje</t>
  </si>
  <si>
    <t>2009-10-29 funkar ej för kallt</t>
  </si>
  <si>
    <t>Mätare</t>
  </si>
  <si>
    <t>Total
effekt</t>
  </si>
  <si>
    <t>Om sidan ej uppdateras automatiskt. Högerklicka någonstans i data tabellen och välj "Refresh data" (eller vid svensk version "Uppdatera data")</t>
  </si>
  <si>
    <t>Online data extern länk</t>
  </si>
  <si>
    <t>Hitta lägsta rumstemp</t>
  </si>
  <si>
    <t>Central</t>
  </si>
  <si>
    <t>#08-02</t>
  </si>
  <si>
    <t>#08-03</t>
  </si>
  <si>
    <t>#08-04</t>
  </si>
  <si>
    <t>#08-06</t>
  </si>
  <si>
    <t>#08-07</t>
  </si>
  <si>
    <t>#08-08</t>
  </si>
  <si>
    <t>#08-09</t>
  </si>
  <si>
    <t>2010-01-21 Någon hade sänkte igen.</t>
  </si>
  <si>
    <t>VVK</t>
  </si>
  <si>
    <t>0705-978356</t>
  </si>
  <si>
    <t>Kurva som funkar enligt julia 2010-01-25</t>
  </si>
  <si>
    <t>VAS05</t>
  </si>
  <si>
    <t>0705-720169</t>
  </si>
  <si>
    <t>08-41082850</t>
  </si>
  <si>
    <t>2010-02-04 funkar ej verkstan klagar.</t>
  </si>
  <si>
    <t>Medel</t>
  </si>
  <si>
    <t>Max</t>
  </si>
  <si>
    <t>Min</t>
  </si>
  <si>
    <t>Varmvatten</t>
  </si>
  <si>
    <t>Alfa Laval</t>
  </si>
  <si>
    <t>Webbindex</t>
  </si>
  <si>
    <t xml:space="preserve">För att snabbt ställa in rätt sidstorlek:  </t>
  </si>
  <si>
    <t>Håll inne knappen Ctrl samtidigt som hjulet på musen snurras. Denna snabbzoomfunktion fungerar även på sidorna med grafer.</t>
  </si>
  <si>
    <t>För att snabbt skifta mellan olika flikar:</t>
  </si>
  <si>
    <t>Ctrl+Page Up och Ctrl+Page Down</t>
  </si>
  <si>
    <t>FÖRKORTNING</t>
  </si>
  <si>
    <t>BESKRIVNING</t>
  </si>
  <si>
    <t>Fastighetens objekt-id</t>
  </si>
  <si>
    <t>Fastigheten/centralens namn</t>
  </si>
  <si>
    <t>Max kapacitet i (kW) på hela centralen. Total dimensionerad effekt för radiator + tappvarmvatten + ventilation.</t>
  </si>
  <si>
    <t>Fastighetens totala yta.</t>
  </si>
  <si>
    <t>Tid (Timma:Minut)</t>
  </si>
  <si>
    <t>Antal Larm</t>
  </si>
  <si>
    <t>Visar antalet larm i centralen just nu.</t>
  </si>
  <si>
    <t>Utetemperatur</t>
  </si>
  <si>
    <t>Referensgivare inomhus Rum1 (°C)</t>
  </si>
  <si>
    <t>Referensgivare inomhus Rum2 (°C)</t>
  </si>
  <si>
    <t>Prim fram</t>
  </si>
  <si>
    <t>Fjärrvärme primär fram(°C)</t>
  </si>
  <si>
    <t>Prim ret</t>
  </si>
  <si>
    <t>Fjärrvärme primär retur(°C). Ju lägre desto bättre.</t>
  </si>
  <si>
    <t>Prim delta</t>
  </si>
  <si>
    <t>Avkylning (°C). Skillnaden mellan Fjärrvärme fram och retur. Ju högre värde desto bättre.</t>
  </si>
  <si>
    <t>Värme1 fram</t>
  </si>
  <si>
    <t>Värme1 fram(°C). Oftast Radiatorslinga.</t>
  </si>
  <si>
    <t>V1 retur</t>
  </si>
  <si>
    <t>Värme1 retur(°C).</t>
  </si>
  <si>
    <t>V1 delta</t>
  </si>
  <si>
    <t>Skillnaden mellan Värme1 fram och retur.</t>
  </si>
  <si>
    <t>V1 ventil</t>
  </si>
  <si>
    <t>Värme1 ventilläge(%). Värdet summerar ventil1 och ventil2. Om det bara finns en ventil så är maxvärdet 100%. Finns det däremot två ventiler är maxvärdet 200%.</t>
  </si>
  <si>
    <t>V1 prim ret</t>
  </si>
  <si>
    <t>Värme1 primär retur(°C). Vid bra värmeöverföring skall detta värde ligga nära "V1 retur".</t>
  </si>
  <si>
    <t>Tappvarmvatten (°C). Exempel 55 grC till kök, dusch och bad.</t>
  </si>
  <si>
    <t>VVC (°C). Slinga för att det inte ska ta så lång tid att få tappvarmvatten i ett stort hus.</t>
  </si>
  <si>
    <t>VV-Ventil</t>
  </si>
  <si>
    <t>Tappvarmvatten ventilläge (%).</t>
  </si>
  <si>
    <t>Momentan effekt (kW)</t>
  </si>
  <si>
    <t>Momentant flöde (liter/sekund)</t>
  </si>
  <si>
    <t>Total Effekt</t>
  </si>
  <si>
    <t>robert.eckerstedt@teoge.se</t>
  </si>
  <si>
    <t>julia.gradin@teoge.se</t>
  </si>
  <si>
    <t>Julia Gradin</t>
  </si>
  <si>
    <t>bengt.saberg@teoge.se</t>
  </si>
  <si>
    <t>#08-05</t>
  </si>
  <si>
    <t>Fiskarg. 8</t>
  </si>
  <si>
    <t>#08-19</t>
  </si>
  <si>
    <t>08-41082855</t>
  </si>
  <si>
    <t>Flygaren 15-16</t>
  </si>
  <si>
    <t>VAS 19</t>
  </si>
  <si>
    <t>Sveavägen 74-75</t>
  </si>
  <si>
    <t>2010-06-17 (ingen klagar)</t>
  </si>
  <si>
    <t>VAS 20</t>
  </si>
  <si>
    <t>Stockholmshus 25 UC14</t>
  </si>
  <si>
    <t>VAS 21</t>
  </si>
  <si>
    <t>VAS 22</t>
  </si>
  <si>
    <t>Stockholmshus 25 UC28</t>
  </si>
  <si>
    <t>Stockholmshus 25 UC78</t>
  </si>
  <si>
    <t>#08-20</t>
  </si>
  <si>
    <t>Sth.hus25 UC14</t>
  </si>
  <si>
    <t>#08-21</t>
  </si>
  <si>
    <t>Sth.hus25 UC28</t>
  </si>
  <si>
    <t>#08-22</t>
  </si>
  <si>
    <t>Sth.hus25 UC78</t>
  </si>
  <si>
    <t>Sotingeplan 12</t>
  </si>
  <si>
    <t>Sotingeplan 28</t>
  </si>
  <si>
    <t>Sotingeplan 80</t>
  </si>
  <si>
    <t>Mats Larsell</t>
  </si>
  <si>
    <t>0761-17 48 36</t>
  </si>
  <si>
    <t>Staffan.Warn@vega-energi.se</t>
  </si>
  <si>
    <t>Anmäl driftärenden hit:</t>
  </si>
  <si>
    <t>mats.larsell@telia.com</t>
  </si>
  <si>
    <t>Täby</t>
  </si>
  <si>
    <t>Kjell Nilsson</t>
  </si>
  <si>
    <t>0705-756808</t>
  </si>
  <si>
    <t>kjell@brfjupiter.se</t>
  </si>
  <si>
    <t>Stockholmshus, Sotingeplan</t>
  </si>
  <si>
    <t>ove.pettersson@itsnordic.se</t>
  </si>
  <si>
    <t>IT-konsult</t>
  </si>
  <si>
    <t>Tyresö</t>
  </si>
  <si>
    <t>Thomas.Sarelind@tyresobostader.se</t>
  </si>
  <si>
    <t>Thomas Särelind</t>
  </si>
  <si>
    <t>0704-88 90 38</t>
  </si>
  <si>
    <t>#08-tyr-01</t>
  </si>
  <si>
    <t>Granängsringen 10</t>
  </si>
  <si>
    <t>0704-470704</t>
  </si>
  <si>
    <t>#08-tab-03</t>
  </si>
  <si>
    <t>Jupiter UC06</t>
  </si>
  <si>
    <t>#08-tab-04</t>
  </si>
  <si>
    <t>Jupiter UC11</t>
  </si>
  <si>
    <t>Bovärd</t>
  </si>
  <si>
    <t>0705-756804</t>
  </si>
  <si>
    <t>Christer Johansson</t>
  </si>
  <si>
    <t>VAS23</t>
  </si>
  <si>
    <t>Näktergalen 2, Engelbrektsg.35</t>
  </si>
  <si>
    <t>Ulf Trygger</t>
  </si>
  <si>
    <t>ulf.trygger@swipnet.se</t>
  </si>
  <si>
    <t>0708-10 76 21</t>
  </si>
  <si>
    <t>#08-23</t>
  </si>
  <si>
    <t>Näktergalen 2</t>
  </si>
  <si>
    <t>christer@blom.ee</t>
  </si>
  <si>
    <t>#08-tab-01</t>
  </si>
  <si>
    <t>Jupiter UC08, Grindtorpsv.7</t>
  </si>
  <si>
    <t>#08-tyr-02</t>
  </si>
  <si>
    <t>Granängsringen 16</t>
  </si>
  <si>
    <t>#08-tyr-03</t>
  </si>
  <si>
    <t>Granängsringen 22</t>
  </si>
  <si>
    <t>Kometv.63-65</t>
  </si>
  <si>
    <t>Jupiter UC 0</t>
  </si>
  <si>
    <t>#08-tab-06</t>
  </si>
  <si>
    <t>Jupiter UC07, Kometv.31</t>
  </si>
  <si>
    <t>Björn Dahl</t>
  </si>
  <si>
    <t>0704-889002</t>
  </si>
  <si>
    <t>Lennart Risberg</t>
  </si>
  <si>
    <t>0704-889010</t>
  </si>
  <si>
    <t>VAS 23</t>
  </si>
  <si>
    <t>Engelbrektsg. 35</t>
  </si>
  <si>
    <t>VAS 24</t>
  </si>
  <si>
    <t>Dalagatan 23</t>
  </si>
  <si>
    <t>Jupiter UC 6</t>
  </si>
  <si>
    <t>Kometv.51</t>
  </si>
  <si>
    <t>Jupiter UC 7</t>
  </si>
  <si>
    <t>Kometv.31</t>
  </si>
  <si>
    <t>Jupiter UC 8</t>
  </si>
  <si>
    <t>Jupiter UC 9</t>
  </si>
  <si>
    <t>Grindtorpsv.17-19, betjänar 13-23</t>
  </si>
  <si>
    <t>Jupiter UC 10</t>
  </si>
  <si>
    <t>Grindtorpsv.31</t>
  </si>
  <si>
    <t>Riksnet 07</t>
  </si>
  <si>
    <t>Riksnet 03</t>
  </si>
  <si>
    <t>Riksnet 06</t>
  </si>
  <si>
    <t>Riksnet 01</t>
  </si>
  <si>
    <t>Riksnet 02</t>
  </si>
  <si>
    <t>Riksnet 04</t>
  </si>
  <si>
    <t>Jupiter UC 11</t>
  </si>
  <si>
    <t>?</t>
  </si>
  <si>
    <t>Riksnet 05</t>
  </si>
  <si>
    <t>Täby 07</t>
  </si>
  <si>
    <t>Täby 03</t>
  </si>
  <si>
    <t>Täby 06</t>
  </si>
  <si>
    <t>Täby 01</t>
  </si>
  <si>
    <t>Täby 02</t>
  </si>
  <si>
    <t>Täby 04</t>
  </si>
  <si>
    <t>Täby 05</t>
  </si>
  <si>
    <t>Jobbar inte längre.</t>
  </si>
  <si>
    <t>Jobbar inte kvar</t>
  </si>
  <si>
    <t>Jasminen 9 och 10</t>
  </si>
  <si>
    <t>VAS 25</t>
  </si>
  <si>
    <t>Brf Pennan 9</t>
  </si>
  <si>
    <t>Åsögatan 90</t>
  </si>
  <si>
    <t>#08-01</t>
  </si>
  <si>
    <t>Fabamo</t>
  </si>
  <si>
    <t>Fiskaren Mindre</t>
  </si>
  <si>
    <t>Ändrad datum: 2010-11-02 Mats Bäckström</t>
  </si>
  <si>
    <t>#08-tab-07</t>
  </si>
  <si>
    <t>Jupiter UC00</t>
  </si>
  <si>
    <t>Grindtorpsv.5-7</t>
  </si>
  <si>
    <t xml:space="preserve">----- </t>
  </si>
  <si>
    <t>---</t>
  </si>
  <si>
    <t>----</t>
  </si>
</sst>
</file>

<file path=xl/styles.xml><?xml version="1.0" encoding="utf-8"?>
<styleSheet xmlns="http://schemas.openxmlformats.org/spreadsheetml/2006/main">
  <numFmts count="1">
    <numFmt numFmtId="168" formatCode="0.0"/>
  </numFmts>
  <fonts count="40">
    <font>
      <sz val="10"/>
      <name val="Arial"/>
    </font>
    <font>
      <sz val="10"/>
      <name val="Arial"/>
    </font>
    <font>
      <u/>
      <sz val="10"/>
      <color indexed="12"/>
      <name val="Arial"/>
    </font>
    <font>
      <sz val="8"/>
      <name val="Arial"/>
    </font>
    <font>
      <b/>
      <sz val="10"/>
      <name val="Arial"/>
    </font>
    <font>
      <sz val="10"/>
      <name val="Arial"/>
    </font>
    <font>
      <b/>
      <sz val="10"/>
      <name val="Arial"/>
      <family val="2"/>
    </font>
    <font>
      <sz val="18"/>
      <name val="Arial"/>
    </font>
    <font>
      <sz val="10"/>
      <name val="Arial"/>
      <family val="2"/>
    </font>
    <font>
      <sz val="8"/>
      <color indexed="81"/>
      <name val="Tahoma"/>
      <family val="2"/>
    </font>
    <font>
      <sz val="8"/>
      <color indexed="81"/>
      <name val="Tahoma"/>
    </font>
    <font>
      <strike/>
      <sz val="10"/>
      <name val="Arial"/>
    </font>
    <font>
      <u/>
      <sz val="10"/>
      <color indexed="12"/>
      <name val="Arial"/>
      <family val="2"/>
    </font>
    <font>
      <strike/>
      <u/>
      <sz val="10"/>
      <color indexed="12"/>
      <name val="Arial"/>
      <family val="2"/>
    </font>
    <font>
      <sz val="10"/>
      <color indexed="12"/>
      <name val="Sans-serif"/>
    </font>
    <font>
      <b/>
      <sz val="10"/>
      <color indexed="9"/>
      <name val="Arial"/>
      <family val="2"/>
    </font>
    <font>
      <sz val="16"/>
      <name val="Arial"/>
    </font>
    <font>
      <b/>
      <strike/>
      <sz val="10"/>
      <name val="Arial"/>
    </font>
    <font>
      <u/>
      <sz val="10"/>
      <name val="Arial"/>
    </font>
    <font>
      <sz val="16"/>
      <name val="Arial"/>
      <family val="2"/>
    </font>
    <font>
      <b/>
      <sz val="8"/>
      <color indexed="81"/>
      <name val="Tahoma"/>
    </font>
    <font>
      <sz val="9"/>
      <name val="Arial"/>
    </font>
    <font>
      <b/>
      <sz val="9"/>
      <name val="Arial"/>
      <family val="2"/>
    </font>
    <font>
      <sz val="9"/>
      <color indexed="10"/>
      <name val="Arial"/>
    </font>
    <font>
      <sz val="9"/>
      <color indexed="17"/>
      <name val="Arial"/>
    </font>
    <font>
      <sz val="9"/>
      <color indexed="48"/>
      <name val="Arial"/>
    </font>
    <font>
      <sz val="9"/>
      <color indexed="55"/>
      <name val="Arial"/>
    </font>
    <font>
      <sz val="9"/>
      <color indexed="62"/>
      <name val="Arial"/>
    </font>
    <font>
      <sz val="18"/>
      <color indexed="9"/>
      <name val="Arial"/>
    </font>
    <font>
      <sz val="10"/>
      <color indexed="9"/>
      <name val="Arial"/>
    </font>
    <font>
      <b/>
      <sz val="18"/>
      <name val="Arial"/>
    </font>
    <font>
      <sz val="16"/>
      <color indexed="9"/>
      <name val="Arial"/>
    </font>
    <font>
      <sz val="22"/>
      <color indexed="9"/>
      <name val="Arial"/>
    </font>
    <font>
      <b/>
      <sz val="22"/>
      <name val="Arial"/>
    </font>
    <font>
      <sz val="22"/>
      <name val="Arial"/>
    </font>
    <font>
      <u/>
      <sz val="12"/>
      <color indexed="9"/>
      <name val="Arial"/>
    </font>
    <font>
      <sz val="9"/>
      <name val="Arial"/>
      <family val="2"/>
    </font>
    <font>
      <b/>
      <sz val="8"/>
      <color indexed="81"/>
      <name val="Tahoma"/>
      <family val="2"/>
    </font>
    <font>
      <sz val="9"/>
      <color indexed="10"/>
      <name val="Arial"/>
      <family val="2"/>
    </font>
    <font>
      <sz val="10"/>
      <color indexed="8"/>
      <name val="Arial"/>
    </font>
  </fonts>
  <fills count="12">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11"/>
        <bgColor indexed="64"/>
      </patternFill>
    </fill>
    <fill>
      <patternFill patternType="solid">
        <fgColor indexed="10"/>
        <bgColor indexed="64"/>
      </patternFill>
    </fill>
    <fill>
      <patternFill patternType="solid">
        <fgColor indexed="9"/>
        <bgColor indexed="64"/>
      </patternFill>
    </fill>
    <fill>
      <patternFill patternType="solid">
        <fgColor indexed="48"/>
        <bgColor indexed="64"/>
      </patternFill>
    </fill>
    <fill>
      <patternFill patternType="solid">
        <fgColor indexed="52"/>
        <bgColor indexed="64"/>
      </patternFill>
    </fill>
    <fill>
      <patternFill patternType="solid">
        <fgColor indexed="23"/>
        <bgColor indexed="64"/>
      </patternFill>
    </fill>
    <fill>
      <patternFill patternType="solid">
        <fgColor indexed="55"/>
        <bgColor indexed="64"/>
      </patternFill>
    </fill>
    <fill>
      <patternFill patternType="solid">
        <fgColor indexed="1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57">
    <xf numFmtId="0" fontId="0" fillId="0" borderId="0" xfId="0"/>
    <xf numFmtId="0" fontId="2" fillId="0" borderId="1" xfId="1" applyFont="1" applyFill="1" applyBorder="1" applyAlignment="1" applyProtection="1"/>
    <xf numFmtId="0" fontId="4" fillId="0" borderId="0" xfId="0" applyFont="1"/>
    <xf numFmtId="0" fontId="5" fillId="0" borderId="1" xfId="0" applyFont="1" applyFill="1" applyBorder="1"/>
    <xf numFmtId="0" fontId="5" fillId="0" borderId="0" xfId="0" applyFont="1"/>
    <xf numFmtId="0" fontId="2" fillId="0" borderId="1" xfId="1" applyFont="1" applyFill="1" applyBorder="1" applyAlignment="1" applyProtection="1">
      <alignment wrapText="1"/>
    </xf>
    <xf numFmtId="0" fontId="2" fillId="0" borderId="0" xfId="1" applyAlignment="1" applyProtection="1"/>
    <xf numFmtId="0" fontId="6" fillId="0" borderId="0" xfId="0" applyFont="1"/>
    <xf numFmtId="0" fontId="2" fillId="0" borderId="1" xfId="1" applyFill="1" applyBorder="1" applyAlignment="1" applyProtection="1"/>
    <xf numFmtId="0" fontId="7" fillId="0" borderId="0" xfId="0" applyFont="1"/>
    <xf numFmtId="0" fontId="1" fillId="0" borderId="0" xfId="0" applyFont="1" applyFill="1" applyBorder="1"/>
    <xf numFmtId="3" fontId="5" fillId="0" borderId="0" xfId="0" applyNumberFormat="1" applyFont="1"/>
    <xf numFmtId="14" fontId="5" fillId="0" borderId="0" xfId="0" applyNumberFormat="1" applyFont="1"/>
    <xf numFmtId="3" fontId="4" fillId="0" borderId="0" xfId="0" applyNumberFormat="1" applyFont="1" applyAlignment="1">
      <alignment textRotation="60"/>
    </xf>
    <xf numFmtId="0" fontId="4" fillId="0" borderId="0" xfId="0" applyFont="1" applyAlignment="1">
      <alignment textRotation="60"/>
    </xf>
    <xf numFmtId="0" fontId="4" fillId="0" borderId="0" xfId="0" applyFont="1" applyAlignment="1">
      <alignment textRotation="60" wrapText="1"/>
    </xf>
    <xf numFmtId="0" fontId="7" fillId="0" borderId="0" xfId="0" applyFont="1" applyBorder="1"/>
    <xf numFmtId="0" fontId="4" fillId="0" borderId="0" xfId="0" applyFont="1" applyBorder="1"/>
    <xf numFmtId="3" fontId="4" fillId="0" borderId="0" xfId="0" applyNumberFormat="1" applyFont="1" applyBorder="1"/>
    <xf numFmtId="0" fontId="6" fillId="0" borderId="0" xfId="0" applyFont="1" applyBorder="1"/>
    <xf numFmtId="0" fontId="1" fillId="0" borderId="0" xfId="0" applyFont="1" applyBorder="1"/>
    <xf numFmtId="0" fontId="5" fillId="0" borderId="0" xfId="0" applyFont="1" applyBorder="1"/>
    <xf numFmtId="0" fontId="2" fillId="0" borderId="0" xfId="1" applyBorder="1" applyAlignment="1" applyProtection="1"/>
    <xf numFmtId="0" fontId="8" fillId="0" borderId="0" xfId="0" applyFont="1" applyBorder="1"/>
    <xf numFmtId="3" fontId="8" fillId="0" borderId="0" xfId="0" applyNumberFormat="1" applyFont="1" applyBorder="1"/>
    <xf numFmtId="0" fontId="5" fillId="0" borderId="0" xfId="0" applyFont="1" applyFill="1" applyBorder="1"/>
    <xf numFmtId="0" fontId="6" fillId="0" borderId="0" xfId="0" applyFont="1" applyFill="1" applyBorder="1"/>
    <xf numFmtId="0" fontId="6" fillId="2" borderId="1" xfId="0" applyFont="1" applyFill="1" applyBorder="1" applyAlignment="1">
      <alignment horizontal="center" vertical="center"/>
    </xf>
    <xf numFmtId="0" fontId="6" fillId="2" borderId="1" xfId="0" applyFont="1" applyFill="1" applyBorder="1" applyAlignment="1">
      <alignment vertical="center"/>
    </xf>
    <xf numFmtId="3" fontId="6" fillId="2" borderId="1" xfId="0" applyNumberFormat="1" applyFont="1" applyFill="1" applyBorder="1" applyAlignment="1">
      <alignment horizontal="center" vertical="center"/>
    </xf>
    <xf numFmtId="0" fontId="0" fillId="0" borderId="1" xfId="0" applyFill="1" applyBorder="1" applyAlignment="1">
      <alignment horizontal="center"/>
    </xf>
    <xf numFmtId="0" fontId="1" fillId="0" borderId="1" xfId="0" applyFont="1" applyFill="1" applyBorder="1"/>
    <xf numFmtId="3" fontId="1" fillId="0" borderId="1" xfId="0" applyNumberFormat="1" applyFont="1" applyFill="1" applyBorder="1"/>
    <xf numFmtId="3" fontId="1" fillId="0" borderId="1" xfId="0" applyNumberFormat="1" applyFont="1" applyFill="1" applyBorder="1" applyAlignment="1">
      <alignment horizontal="center"/>
    </xf>
    <xf numFmtId="0" fontId="0" fillId="0" borderId="1" xfId="0" applyBorder="1"/>
    <xf numFmtId="0" fontId="0" fillId="0" borderId="1" xfId="0" applyBorder="1" applyAlignment="1">
      <alignment horizontal="center"/>
    </xf>
    <xf numFmtId="3" fontId="0" fillId="0" borderId="1" xfId="0" applyNumberFormat="1" applyBorder="1"/>
    <xf numFmtId="3" fontId="0" fillId="0" borderId="1" xfId="0" applyNumberFormat="1" applyBorder="1" applyAlignment="1">
      <alignment horizontal="center"/>
    </xf>
    <xf numFmtId="0" fontId="8" fillId="0" borderId="0" xfId="0" applyFont="1"/>
    <xf numFmtId="0" fontId="8" fillId="0" borderId="1" xfId="0" applyFont="1" applyBorder="1"/>
    <xf numFmtId="0" fontId="6" fillId="3" borderId="0" xfId="0" applyFont="1" applyFill="1"/>
    <xf numFmtId="0" fontId="0" fillId="3" borderId="0" xfId="0" applyFill="1"/>
    <xf numFmtId="3" fontId="5" fillId="3" borderId="0" xfId="0" applyNumberFormat="1" applyFont="1" applyFill="1"/>
    <xf numFmtId="0" fontId="2" fillId="3" borderId="1" xfId="1" applyFill="1" applyBorder="1" applyAlignment="1" applyProtection="1"/>
    <xf numFmtId="0" fontId="2" fillId="3" borderId="1" xfId="1" applyFont="1" applyFill="1" applyBorder="1" applyAlignment="1" applyProtection="1"/>
    <xf numFmtId="0" fontId="5" fillId="3" borderId="1" xfId="0" applyFont="1" applyFill="1" applyBorder="1"/>
    <xf numFmtId="0" fontId="5" fillId="3" borderId="0" xfId="0" applyFont="1" applyFill="1"/>
    <xf numFmtId="0" fontId="11" fillId="0" borderId="0" xfId="0" applyFont="1" applyBorder="1"/>
    <xf numFmtId="0" fontId="12" fillId="0" borderId="0" xfId="1" applyFont="1" applyBorder="1" applyAlignment="1" applyProtection="1"/>
    <xf numFmtId="3" fontId="12" fillId="0" borderId="0" xfId="1" applyNumberFormat="1" applyFont="1" applyBorder="1" applyAlignment="1" applyProtection="1"/>
    <xf numFmtId="0" fontId="12" fillId="0" borderId="0" xfId="1" applyFont="1" applyAlignment="1" applyProtection="1"/>
    <xf numFmtId="0" fontId="13" fillId="0" borderId="0" xfId="1" applyFont="1" applyBorder="1" applyAlignment="1" applyProtection="1"/>
    <xf numFmtId="14" fontId="0" fillId="0" borderId="0" xfId="0" applyNumberFormat="1"/>
    <xf numFmtId="3" fontId="2" fillId="0" borderId="0" xfId="1" applyNumberFormat="1" applyBorder="1" applyAlignment="1" applyProtection="1"/>
    <xf numFmtId="0" fontId="2" fillId="3" borderId="0" xfId="1" applyFill="1" applyBorder="1" applyAlignment="1" applyProtection="1"/>
    <xf numFmtId="0" fontId="2" fillId="3" borderId="0" xfId="1" applyFill="1" applyAlignment="1" applyProtection="1"/>
    <xf numFmtId="0" fontId="6" fillId="3" borderId="0" xfId="0" applyFont="1" applyFill="1" applyBorder="1"/>
    <xf numFmtId="0" fontId="4" fillId="3" borderId="0" xfId="0" applyFont="1" applyFill="1" applyBorder="1"/>
    <xf numFmtId="0" fontId="8" fillId="3" borderId="0" xfId="0" applyFont="1" applyFill="1" applyBorder="1"/>
    <xf numFmtId="3" fontId="8" fillId="3" borderId="0" xfId="0" applyNumberFormat="1" applyFont="1" applyFill="1" applyBorder="1"/>
    <xf numFmtId="0" fontId="1" fillId="3" borderId="0" xfId="0" applyFont="1" applyFill="1" applyBorder="1"/>
    <xf numFmtId="0" fontId="5" fillId="3" borderId="0" xfId="0" applyFont="1" applyFill="1" applyBorder="1"/>
    <xf numFmtId="0" fontId="12" fillId="3" borderId="0" xfId="1" applyFont="1" applyFill="1" applyBorder="1" applyAlignment="1" applyProtection="1"/>
    <xf numFmtId="3" fontId="12" fillId="3" borderId="0" xfId="1" applyNumberFormat="1" applyFont="1" applyFill="1" applyBorder="1" applyAlignment="1" applyProtection="1"/>
    <xf numFmtId="0" fontId="12" fillId="3" borderId="0" xfId="1" applyFont="1" applyFill="1" applyAlignment="1" applyProtection="1"/>
    <xf numFmtId="0" fontId="0" fillId="3" borderId="0" xfId="0" applyFill="1" applyBorder="1"/>
    <xf numFmtId="0" fontId="2" fillId="0" borderId="0" xfId="1" applyFont="1" applyFill="1" applyBorder="1" applyAlignment="1" applyProtection="1"/>
    <xf numFmtId="0" fontId="4" fillId="0" borderId="0" xfId="0" applyFont="1" applyFill="1" applyBorder="1"/>
    <xf numFmtId="0" fontId="8" fillId="0" borderId="0" xfId="0" applyFont="1" applyFill="1" applyBorder="1"/>
    <xf numFmtId="3" fontId="8" fillId="0" borderId="0" xfId="0" applyNumberFormat="1" applyFont="1" applyFill="1" applyBorder="1"/>
    <xf numFmtId="0" fontId="8" fillId="3" borderId="0" xfId="0" applyFont="1" applyFill="1"/>
    <xf numFmtId="0" fontId="14" fillId="0" borderId="0" xfId="0" applyFont="1"/>
    <xf numFmtId="0" fontId="15" fillId="4" borderId="0" xfId="0" applyFont="1" applyFill="1"/>
    <xf numFmtId="0" fontId="15" fillId="5" borderId="0" xfId="0" applyFont="1" applyFill="1"/>
    <xf numFmtId="0" fontId="1" fillId="0" borderId="0" xfId="0" applyFont="1"/>
    <xf numFmtId="0" fontId="5" fillId="0" borderId="0" xfId="0" applyFont="1" applyFill="1"/>
    <xf numFmtId="0" fontId="6" fillId="6" borderId="0" xfId="0" applyFont="1" applyFill="1" applyBorder="1"/>
    <xf numFmtId="0" fontId="1" fillId="6" borderId="0" xfId="0" applyFont="1" applyFill="1" applyBorder="1"/>
    <xf numFmtId="0" fontId="2" fillId="6" borderId="0" xfId="1" applyFill="1" applyBorder="1" applyAlignment="1" applyProtection="1"/>
    <xf numFmtId="0" fontId="8" fillId="6" borderId="0" xfId="0" applyFont="1" applyFill="1" applyBorder="1"/>
    <xf numFmtId="0" fontId="8" fillId="3" borderId="0" xfId="1" applyFont="1" applyFill="1" applyBorder="1" applyAlignment="1" applyProtection="1"/>
    <xf numFmtId="3" fontId="2" fillId="6" borderId="0" xfId="1" applyNumberFormat="1" applyFill="1" applyBorder="1" applyAlignment="1" applyProtection="1"/>
    <xf numFmtId="3" fontId="2" fillId="3" borderId="0" xfId="1" applyNumberFormat="1" applyFill="1" applyBorder="1" applyAlignment="1" applyProtection="1"/>
    <xf numFmtId="0" fontId="2" fillId="0" borderId="0" xfId="1" applyFont="1" applyBorder="1" applyAlignment="1" applyProtection="1"/>
    <xf numFmtId="0" fontId="18" fillId="3" borderId="0" xfId="1" applyFont="1" applyFill="1" applyBorder="1" applyAlignment="1" applyProtection="1"/>
    <xf numFmtId="0" fontId="1" fillId="0" borderId="0" xfId="1" applyFont="1" applyBorder="1" applyAlignment="1" applyProtection="1"/>
    <xf numFmtId="0" fontId="0" fillId="0" borderId="0" xfId="0" applyFill="1" applyBorder="1" applyAlignment="1">
      <alignment horizontal="center"/>
    </xf>
    <xf numFmtId="0" fontId="2" fillId="0" borderId="0" xfId="1" applyFill="1" applyBorder="1" applyAlignment="1" applyProtection="1"/>
    <xf numFmtId="3" fontId="1" fillId="0" borderId="0" xfId="0" applyNumberFormat="1" applyFont="1" applyFill="1" applyBorder="1"/>
    <xf numFmtId="3" fontId="1" fillId="0" borderId="0" xfId="0" applyNumberFormat="1" applyFont="1" applyFill="1" applyBorder="1" applyAlignment="1">
      <alignment horizontal="center"/>
    </xf>
    <xf numFmtId="0" fontId="4" fillId="6" borderId="0" xfId="0" applyFont="1" applyFill="1" applyBorder="1"/>
    <xf numFmtId="0" fontId="17" fillId="0" borderId="0" xfId="0" applyFont="1" applyBorder="1"/>
    <xf numFmtId="0" fontId="0" fillId="0" borderId="0" xfId="0" applyBorder="1" applyAlignment="1">
      <alignment horizontal="center"/>
    </xf>
    <xf numFmtId="0" fontId="0" fillId="0" borderId="0" xfId="0" applyBorder="1"/>
    <xf numFmtId="3" fontId="0" fillId="0" borderId="0" xfId="0" applyNumberFormat="1" applyBorder="1"/>
    <xf numFmtId="3" fontId="0" fillId="0" borderId="0" xfId="0" applyNumberFormat="1" applyBorder="1" applyAlignment="1">
      <alignment horizontal="center"/>
    </xf>
    <xf numFmtId="168" fontId="6" fillId="0" borderId="0" xfId="0" applyNumberFormat="1" applyFont="1" applyFill="1"/>
    <xf numFmtId="0" fontId="0" fillId="0" borderId="0" xfId="0" applyFill="1"/>
    <xf numFmtId="0" fontId="2" fillId="0" borderId="1" xfId="1" applyFill="1" applyBorder="1" applyAlignment="1" applyProtection="1">
      <alignment wrapText="1"/>
    </xf>
    <xf numFmtId="3" fontId="2" fillId="0" borderId="0" xfId="1" applyNumberFormat="1" applyFill="1" applyBorder="1" applyAlignment="1" applyProtection="1"/>
    <xf numFmtId="0" fontId="21" fillId="0" borderId="0" xfId="0" applyFont="1" applyFill="1"/>
    <xf numFmtId="168" fontId="21" fillId="0" borderId="0" xfId="0" applyNumberFormat="1" applyFont="1" applyFill="1"/>
    <xf numFmtId="0" fontId="6" fillId="0" borderId="0" xfId="0" applyFont="1" applyFill="1"/>
    <xf numFmtId="0" fontId="6" fillId="5" borderId="0" xfId="0" applyFont="1" applyFill="1" applyAlignment="1">
      <alignment wrapText="1"/>
    </xf>
    <xf numFmtId="0" fontId="6" fillId="7" borderId="0" xfId="0" applyFont="1" applyFill="1" applyAlignment="1">
      <alignment wrapText="1"/>
    </xf>
    <xf numFmtId="0" fontId="6" fillId="8" borderId="0" xfId="0" applyFont="1" applyFill="1"/>
    <xf numFmtId="0" fontId="6" fillId="9" borderId="0" xfId="0" applyFont="1" applyFill="1" applyAlignment="1">
      <alignment wrapText="1"/>
    </xf>
    <xf numFmtId="0" fontId="6" fillId="9" borderId="0" xfId="0" applyFont="1" applyFill="1"/>
    <xf numFmtId="0" fontId="0" fillId="10" borderId="0" xfId="0" applyFill="1"/>
    <xf numFmtId="0" fontId="6" fillId="10" borderId="0" xfId="0" applyFont="1" applyFill="1" applyAlignment="1">
      <alignment wrapText="1"/>
    </xf>
    <xf numFmtId="0" fontId="6" fillId="10" borderId="0" xfId="0" applyFont="1" applyFill="1"/>
    <xf numFmtId="1" fontId="22" fillId="3" borderId="0" xfId="0" applyNumberFormat="1" applyFont="1" applyFill="1"/>
    <xf numFmtId="168" fontId="21" fillId="3" borderId="0" xfId="0" applyNumberFormat="1" applyFont="1" applyFill="1"/>
    <xf numFmtId="0" fontId="19" fillId="10" borderId="0" xfId="0" applyFont="1" applyFill="1" applyAlignment="1"/>
    <xf numFmtId="0" fontId="16" fillId="10" borderId="0" xfId="0" applyFont="1" applyFill="1"/>
    <xf numFmtId="0" fontId="23" fillId="0" borderId="0" xfId="0" applyFont="1" applyFill="1"/>
    <xf numFmtId="168" fontId="24" fillId="3" borderId="0" xfId="0" applyNumberFormat="1" applyFont="1" applyFill="1"/>
    <xf numFmtId="0" fontId="24" fillId="0" borderId="0" xfId="0" applyFont="1" applyFill="1"/>
    <xf numFmtId="0" fontId="25" fillId="0" borderId="0" xfId="0" applyFont="1" applyFill="1"/>
    <xf numFmtId="0" fontId="26" fillId="0" borderId="0" xfId="0" applyFont="1" applyFill="1"/>
    <xf numFmtId="16" fontId="27" fillId="0" borderId="0" xfId="0" applyNumberFormat="1" applyFont="1" applyFill="1"/>
    <xf numFmtId="20" fontId="27" fillId="0" borderId="0" xfId="0" applyNumberFormat="1" applyFont="1" applyFill="1"/>
    <xf numFmtId="0" fontId="22" fillId="3" borderId="0" xfId="0" applyFont="1" applyFill="1"/>
    <xf numFmtId="0" fontId="21" fillId="3" borderId="0" xfId="0" applyFont="1" applyFill="1"/>
    <xf numFmtId="0" fontId="28" fillId="11" borderId="0" xfId="0" applyFont="1" applyFill="1"/>
    <xf numFmtId="0" fontId="29" fillId="11" borderId="0" xfId="0" applyFont="1" applyFill="1"/>
    <xf numFmtId="0" fontId="4" fillId="11" borderId="0" xfId="0" applyFont="1" applyFill="1"/>
    <xf numFmtId="0" fontId="30" fillId="11" borderId="0" xfId="0" applyFont="1" applyFill="1"/>
    <xf numFmtId="0" fontId="5" fillId="11" borderId="0" xfId="0" applyFont="1" applyFill="1"/>
    <xf numFmtId="0" fontId="31" fillId="11" borderId="0" xfId="0" applyFont="1" applyFill="1"/>
    <xf numFmtId="0" fontId="32" fillId="11" borderId="0" xfId="0" applyFont="1" applyFill="1"/>
    <xf numFmtId="0" fontId="33" fillId="11" borderId="0" xfId="0" applyFont="1" applyFill="1"/>
    <xf numFmtId="0" fontId="34" fillId="11" borderId="0" xfId="0" applyFont="1" applyFill="1"/>
    <xf numFmtId="0" fontId="6" fillId="3" borderId="0" xfId="0" applyFont="1" applyFill="1" applyAlignment="1">
      <alignment textRotation="60"/>
    </xf>
    <xf numFmtId="3" fontId="4" fillId="3" borderId="0" xfId="0" applyNumberFormat="1" applyFont="1" applyFill="1" applyAlignment="1">
      <alignment textRotation="60" wrapText="1"/>
    </xf>
    <xf numFmtId="0" fontId="4" fillId="3" borderId="0" xfId="0" applyFont="1" applyFill="1" applyAlignment="1">
      <alignment textRotation="60"/>
    </xf>
    <xf numFmtId="0" fontId="4" fillId="3" borderId="0" xfId="0" applyFont="1" applyFill="1" applyAlignment="1">
      <alignment textRotation="60" wrapText="1"/>
    </xf>
    <xf numFmtId="3" fontId="4" fillId="3" borderId="0" xfId="0" applyNumberFormat="1" applyFont="1" applyFill="1" applyAlignment="1">
      <alignment textRotation="60"/>
    </xf>
    <xf numFmtId="0" fontId="34" fillId="0" borderId="0" xfId="0" applyFont="1" applyFill="1"/>
    <xf numFmtId="0" fontId="5" fillId="0" borderId="0" xfId="0" applyFont="1" applyFill="1" applyAlignment="1">
      <alignment textRotation="45"/>
    </xf>
    <xf numFmtId="0" fontId="35" fillId="11" borderId="0" xfId="1" applyFont="1" applyFill="1" applyAlignment="1" applyProtection="1"/>
    <xf numFmtId="0" fontId="35" fillId="11" borderId="0" xfId="1" applyFont="1" applyFill="1" applyBorder="1" applyAlignment="1" applyProtection="1"/>
    <xf numFmtId="0" fontId="22" fillId="0" borderId="0" xfId="0" applyFont="1"/>
    <xf numFmtId="0" fontId="36" fillId="0" borderId="0" xfId="0" applyFont="1"/>
    <xf numFmtId="1" fontId="21" fillId="0" borderId="0" xfId="0" applyNumberFormat="1" applyFont="1" applyFill="1"/>
    <xf numFmtId="168" fontId="24" fillId="0" borderId="0" xfId="0" applyNumberFormat="1" applyFont="1" applyFill="1"/>
    <xf numFmtId="168" fontId="23" fillId="0" borderId="0" xfId="0" applyNumberFormat="1" applyFont="1" applyFill="1"/>
    <xf numFmtId="168" fontId="25" fillId="0" borderId="0" xfId="0" applyNumberFormat="1" applyFont="1" applyFill="1"/>
    <xf numFmtId="168" fontId="26" fillId="0" borderId="0" xfId="0" applyNumberFormat="1" applyFont="1" applyFill="1"/>
    <xf numFmtId="0" fontId="2" fillId="0" borderId="1" xfId="1" applyBorder="1" applyAlignment="1" applyProtection="1"/>
    <xf numFmtId="0" fontId="2" fillId="0" borderId="0" xfId="1" applyFont="1" applyAlignment="1" applyProtection="1"/>
    <xf numFmtId="0" fontId="38" fillId="0" borderId="0" xfId="0" applyFont="1" applyFill="1"/>
    <xf numFmtId="168" fontId="38" fillId="0" borderId="0" xfId="0" applyNumberFormat="1" applyFont="1" applyFill="1"/>
    <xf numFmtId="3" fontId="5" fillId="0" borderId="0" xfId="0" applyNumberFormat="1" applyFont="1" applyFill="1"/>
    <xf numFmtId="0" fontId="0" fillId="0" borderId="0" xfId="0" applyFill="1" applyBorder="1"/>
    <xf numFmtId="20" fontId="0" fillId="0" borderId="0" xfId="0" applyNumberFormat="1"/>
    <xf numFmtId="16" fontId="0" fillId="0" borderId="0" xfId="0" applyNumberFormat="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4.xml"/><Relationship Id="rId13" Type="http://schemas.openxmlformats.org/officeDocument/2006/relationships/styles" Target="styles.xml"/><Relationship Id="rId3" Type="http://schemas.openxmlformats.org/officeDocument/2006/relationships/chartsheet" Target="chartsheets/sheet3.xml"/><Relationship Id="rId7" Type="http://schemas.openxmlformats.org/officeDocument/2006/relationships/worksheet" Target="worksheets/sheet3.xml"/><Relationship Id="rId12" Type="http://schemas.openxmlformats.org/officeDocument/2006/relationships/connections" Target="connections.xml"/><Relationship Id="rId2" Type="http://schemas.openxmlformats.org/officeDocument/2006/relationships/chartsheet" Target="chartsheets/sheet2.xml"/><Relationship Id="rId1" Type="http://schemas.openxmlformats.org/officeDocument/2006/relationships/chartsheet" Target="chartsheets/sheet1.xml"/><Relationship Id="rId6" Type="http://schemas.openxmlformats.org/officeDocument/2006/relationships/worksheet" Target="worksheets/sheet2.xml"/><Relationship Id="rId11" Type="http://schemas.openxmlformats.org/officeDocument/2006/relationships/theme" Target="theme/theme1.xml"/><Relationship Id="rId5" Type="http://schemas.openxmlformats.org/officeDocument/2006/relationships/worksheet" Target="worksheets/sheet1.xml"/><Relationship Id="rId15" Type="http://schemas.openxmlformats.org/officeDocument/2006/relationships/calcChain" Target="calcChain.xml"/><Relationship Id="rId10" Type="http://schemas.openxmlformats.org/officeDocument/2006/relationships/worksheet" Target="worksheets/sheet6.xml"/><Relationship Id="rId4" Type="http://schemas.openxmlformats.org/officeDocument/2006/relationships/chartsheet" Target="chartsheets/sheet4.xml"/><Relationship Id="rId9" Type="http://schemas.openxmlformats.org/officeDocument/2006/relationships/worksheet" Target="worksheets/sheet5.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sv-SE"/>
  <c:chart>
    <c:title>
      <c:tx>
        <c:rich>
          <a:bodyPr/>
          <a:lstStyle/>
          <a:p>
            <a:pPr>
              <a:defRPr sz="1000" b="0" i="0" u="none" strike="noStrike" baseline="0">
                <a:solidFill>
                  <a:srgbClr val="000000"/>
                </a:solidFill>
                <a:latin typeface="Arial"/>
                <a:ea typeface="Arial"/>
                <a:cs typeface="Arial"/>
              </a:defRPr>
            </a:pPr>
            <a:r>
              <a:rPr lang="sv-SE" sz="1200" b="1" i="0" u="none" strike="noStrike" baseline="0">
                <a:solidFill>
                  <a:srgbClr val="000000"/>
                </a:solidFill>
                <a:latin typeface="Arial"/>
                <a:cs typeface="Arial"/>
              </a:rPr>
              <a:t>Inomhustemperatur </a:t>
            </a:r>
            <a:r>
              <a:rPr lang="sv-SE" sz="1200" b="0" i="0" u="none" strike="noStrike" baseline="0">
                <a:solidFill>
                  <a:srgbClr val="000000"/>
                </a:solidFill>
                <a:latin typeface="Arial"/>
                <a:cs typeface="Arial"/>
              </a:rPr>
              <a:t>(uppdateras var 15:e minut)</a:t>
            </a:r>
          </a:p>
        </c:rich>
      </c:tx>
      <c:layout>
        <c:manualLayout>
          <c:xMode val="edge"/>
          <c:yMode val="edge"/>
          <c:x val="0.3185108583247156"/>
          <c:y val="2.0338983050847456E-2"/>
        </c:manualLayout>
      </c:layout>
      <c:spPr>
        <a:noFill/>
        <a:ln w="25400">
          <a:noFill/>
        </a:ln>
      </c:spPr>
    </c:title>
    <c:plotArea>
      <c:layout>
        <c:manualLayout>
          <c:layoutTarget val="inner"/>
          <c:xMode val="edge"/>
          <c:yMode val="edge"/>
          <c:x val="6.2047569803516028E-2"/>
          <c:y val="0.12542372881355932"/>
          <c:w val="0.87762840399862119"/>
          <c:h val="0.78135593220338984"/>
        </c:manualLayout>
      </c:layout>
      <c:barChart>
        <c:barDir val="col"/>
        <c:grouping val="clustered"/>
        <c:ser>
          <c:idx val="0"/>
          <c:order val="0"/>
          <c:tx>
            <c:strRef>
              <c:f>'Online data'!$K$2</c:f>
              <c:strCache>
                <c:ptCount val="1"/>
                <c:pt idx="0">
                  <c:v>Rum1</c:v>
                </c:pt>
              </c:strCache>
            </c:strRef>
          </c:tx>
          <c:spPr>
            <a:solidFill>
              <a:srgbClr val="9999FF"/>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data'!$K$6:$K$30</c:f>
              <c:numCache>
                <c:formatCode>General</c:formatCode>
                <c:ptCount val="25"/>
                <c:pt idx="1">
                  <c:v>16</c:v>
                </c:pt>
                <c:pt idx="2">
                  <c:v>22.8</c:v>
                </c:pt>
                <c:pt idx="3">
                  <c:v>20.100000000000001</c:v>
                </c:pt>
                <c:pt idx="4">
                  <c:v>19.3</c:v>
                </c:pt>
                <c:pt idx="5">
                  <c:v>23.4</c:v>
                </c:pt>
                <c:pt idx="6">
                  <c:v>22.6</c:v>
                </c:pt>
                <c:pt idx="7">
                  <c:v>19.399999999999999</c:v>
                </c:pt>
                <c:pt idx="8">
                  <c:v>19.899999999999999</c:v>
                </c:pt>
                <c:pt idx="9">
                  <c:v>21.8</c:v>
                </c:pt>
                <c:pt idx="10">
                  <c:v>23.8</c:v>
                </c:pt>
                <c:pt idx="11">
                  <c:v>22.6</c:v>
                </c:pt>
                <c:pt idx="12">
                  <c:v>23.3</c:v>
                </c:pt>
                <c:pt idx="13">
                  <c:v>22</c:v>
                </c:pt>
                <c:pt idx="14">
                  <c:v>20.399999999999999</c:v>
                </c:pt>
                <c:pt idx="15">
                  <c:v>22.3</c:v>
                </c:pt>
                <c:pt idx="16">
                  <c:v>22.7</c:v>
                </c:pt>
                <c:pt idx="17">
                  <c:v>20.6</c:v>
                </c:pt>
                <c:pt idx="18" formatCode="0.0">
                  <c:v>23.4</c:v>
                </c:pt>
                <c:pt idx="19">
                  <c:v>19.399999999999999</c:v>
                </c:pt>
                <c:pt idx="20">
                  <c:v>18.8</c:v>
                </c:pt>
                <c:pt idx="21">
                  <c:v>20</c:v>
                </c:pt>
                <c:pt idx="22">
                  <c:v>18.5</c:v>
                </c:pt>
                <c:pt idx="23">
                  <c:v>21.5</c:v>
                </c:pt>
                <c:pt idx="24">
                  <c:v>16.7</c:v>
                </c:pt>
              </c:numCache>
            </c:numRef>
          </c:val>
        </c:ser>
        <c:ser>
          <c:idx val="1"/>
          <c:order val="1"/>
          <c:tx>
            <c:strRef>
              <c:f>'Online data'!$L$2</c:f>
              <c:strCache>
                <c:ptCount val="1"/>
                <c:pt idx="0">
                  <c:v>Rum2</c:v>
                </c:pt>
              </c:strCache>
            </c:strRef>
          </c:tx>
          <c:spPr>
            <a:solidFill>
              <a:srgbClr val="993366"/>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data'!$L$6:$L$30</c:f>
              <c:numCache>
                <c:formatCode>General</c:formatCode>
                <c:ptCount val="25"/>
                <c:pt idx="1">
                  <c:v>20.7</c:v>
                </c:pt>
                <c:pt idx="2">
                  <c:v>22.7</c:v>
                </c:pt>
                <c:pt idx="3">
                  <c:v>18.600000000000001</c:v>
                </c:pt>
                <c:pt idx="4">
                  <c:v>20.399999999999999</c:v>
                </c:pt>
                <c:pt idx="5">
                  <c:v>21.9</c:v>
                </c:pt>
                <c:pt idx="6">
                  <c:v>21.9</c:v>
                </c:pt>
                <c:pt idx="7">
                  <c:v>21.4</c:v>
                </c:pt>
                <c:pt idx="8">
                  <c:v>20.3</c:v>
                </c:pt>
                <c:pt idx="9">
                  <c:v>23.2</c:v>
                </c:pt>
                <c:pt idx="10">
                  <c:v>21.6</c:v>
                </c:pt>
                <c:pt idx="11">
                  <c:v>22.3</c:v>
                </c:pt>
                <c:pt idx="12">
                  <c:v>22.7</c:v>
                </c:pt>
                <c:pt idx="13">
                  <c:v>21.9</c:v>
                </c:pt>
                <c:pt idx="14">
                  <c:v>23.3</c:v>
                </c:pt>
                <c:pt idx="15">
                  <c:v>22.2</c:v>
                </c:pt>
                <c:pt idx="16">
                  <c:v>19.8</c:v>
                </c:pt>
                <c:pt idx="17">
                  <c:v>20.9</c:v>
                </c:pt>
                <c:pt idx="18" formatCode="0.0">
                  <c:v>21.4</c:v>
                </c:pt>
                <c:pt idx="19">
                  <c:v>20.9</c:v>
                </c:pt>
                <c:pt idx="20">
                  <c:v>19.8</c:v>
                </c:pt>
                <c:pt idx="21">
                  <c:v>21.1</c:v>
                </c:pt>
                <c:pt idx="22">
                  <c:v>20.8</c:v>
                </c:pt>
                <c:pt idx="23">
                  <c:v>20.5</c:v>
                </c:pt>
                <c:pt idx="24">
                  <c:v>22.3</c:v>
                </c:pt>
              </c:numCache>
            </c:numRef>
          </c:val>
        </c:ser>
        <c:axId val="68975616"/>
        <c:axId val="68985984"/>
      </c:barChart>
      <c:catAx>
        <c:axId val="68975616"/>
        <c:scaling>
          <c:orientation val="minMax"/>
        </c:scaling>
        <c:axPos val="b"/>
        <c:title>
          <c:tx>
            <c:rich>
              <a:bodyPr/>
              <a:lstStyle/>
              <a:p>
                <a:pPr>
                  <a:defRPr sz="1000" b="1" i="0" u="none" strike="noStrike" baseline="0">
                    <a:solidFill>
                      <a:srgbClr val="000000"/>
                    </a:solidFill>
                    <a:latin typeface="Arial"/>
                    <a:ea typeface="Arial"/>
                    <a:cs typeface="Arial"/>
                  </a:defRPr>
                </a:pPr>
                <a:r>
                  <a:t>Fjärrvärmecentral</a:t>
                </a:r>
              </a:p>
            </c:rich>
          </c:tx>
          <c:layout>
            <c:manualLayout>
              <c:xMode val="edge"/>
              <c:yMode val="edge"/>
              <c:x val="0.43433298862461223"/>
              <c:y val="0.94237288135593222"/>
            </c:manualLayout>
          </c:layout>
          <c:spPr>
            <a:noFill/>
            <a:ln w="25400">
              <a:noFill/>
            </a:ln>
          </c:spPr>
        </c:title>
        <c:numFmt formatCode="General" sourceLinked="1"/>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sv-SE"/>
          </a:p>
        </c:txPr>
        <c:crossAx val="68985984"/>
        <c:crossesAt val="21"/>
        <c:auto val="1"/>
        <c:lblAlgn val="ctr"/>
        <c:lblOffset val="100"/>
        <c:tickLblSkip val="1"/>
        <c:tickMarkSkip val="1"/>
      </c:catAx>
      <c:valAx>
        <c:axId val="68985984"/>
        <c:scaling>
          <c:orientation val="minMax"/>
          <c:max val="27"/>
          <c:min val="15"/>
        </c:scaling>
        <c:axPos val="l"/>
        <c:majorGridlines>
          <c:spPr>
            <a:ln w="3175">
              <a:solidFill>
                <a:srgbClr val="000000"/>
              </a:solidFill>
              <a:prstDash val="solid"/>
            </a:ln>
          </c:spPr>
        </c:majorGridlines>
        <c:title>
          <c:tx>
            <c:rich>
              <a:bodyPr/>
              <a:lstStyle/>
              <a:p>
                <a:pPr>
                  <a:defRPr sz="1000" b="1" i="0" u="none" strike="noStrike" baseline="0">
                    <a:solidFill>
                      <a:srgbClr val="000000"/>
                    </a:solidFill>
                    <a:latin typeface="Arial"/>
                    <a:ea typeface="Arial"/>
                    <a:cs typeface="Arial"/>
                  </a:defRPr>
                </a:pPr>
                <a:r>
                  <a:t>Inomhustemperatur</a:t>
                </a:r>
              </a:p>
            </c:rich>
          </c:tx>
          <c:layout>
            <c:manualLayout>
              <c:xMode val="edge"/>
              <c:yMode val="edge"/>
              <c:x val="1.1375387797311272E-2"/>
              <c:y val="0.33220338983050846"/>
            </c:manualLayout>
          </c:layout>
          <c:spPr>
            <a:noFill/>
            <a:ln w="25400">
              <a:noFill/>
            </a:ln>
          </c:spPr>
        </c:title>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sv-SE"/>
          </a:p>
        </c:txPr>
        <c:crossAx val="68975616"/>
        <c:crosses val="autoZero"/>
        <c:crossBetween val="between"/>
        <c:majorUnit val="1"/>
      </c:valAx>
      <c:spPr>
        <a:solidFill>
          <a:srgbClr val="C0C0C0"/>
        </a:solidFill>
        <a:ln w="12700">
          <a:solidFill>
            <a:srgbClr val="808080"/>
          </a:solidFill>
          <a:prstDash val="solid"/>
        </a:ln>
      </c:spPr>
    </c:plotArea>
    <c:legend>
      <c:legendPos val="r"/>
      <c:layout>
        <c:manualLayout>
          <c:xMode val="edge"/>
          <c:yMode val="edge"/>
          <c:wMode val="edge"/>
          <c:hMode val="edge"/>
          <c:x val="0.94002068252326787"/>
          <c:y val="0.40508474576271186"/>
          <c:w val="0.99586349534643226"/>
          <c:h val="0.47796610169491527"/>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sv-SE"/>
        </a:p>
      </c:txPr>
    </c:legend>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sv-SE"/>
    </a:p>
  </c:txPr>
</c:chartSpace>
</file>

<file path=xl/charts/chart2.xml><?xml version="1.0" encoding="utf-8"?>
<c:chartSpace xmlns:c="http://schemas.openxmlformats.org/drawingml/2006/chart" xmlns:a="http://schemas.openxmlformats.org/drawingml/2006/main" xmlns:r="http://schemas.openxmlformats.org/officeDocument/2006/relationships">
  <c:lang val="sv-SE"/>
  <c:chart>
    <c:title>
      <c:tx>
        <c:rich>
          <a:bodyPr/>
          <a:lstStyle/>
          <a:p>
            <a:pPr>
              <a:defRPr sz="1000" b="0" i="0" u="none" strike="noStrike" baseline="0">
                <a:solidFill>
                  <a:srgbClr val="000000"/>
                </a:solidFill>
                <a:latin typeface="Arial"/>
                <a:ea typeface="Arial"/>
                <a:cs typeface="Arial"/>
              </a:defRPr>
            </a:pPr>
            <a:r>
              <a:rPr lang="sv-SE" sz="1200" b="1" i="0" u="none" strike="noStrike" baseline="0">
                <a:solidFill>
                  <a:srgbClr val="000000"/>
                </a:solidFill>
                <a:latin typeface="Arial"/>
                <a:cs typeface="Arial"/>
              </a:rPr>
              <a:t>Fjärrvärme </a:t>
            </a:r>
            <a:r>
              <a:rPr lang="sv-SE" sz="1200" b="0" i="0" u="none" strike="noStrike" baseline="0">
                <a:solidFill>
                  <a:srgbClr val="000000"/>
                </a:solidFill>
                <a:latin typeface="Arial"/>
                <a:cs typeface="Arial"/>
              </a:rPr>
              <a:t>(uppdateras var 15:e minut)</a:t>
            </a:r>
          </a:p>
        </c:rich>
      </c:tx>
      <c:layout>
        <c:manualLayout>
          <c:xMode val="edge"/>
          <c:yMode val="edge"/>
          <c:x val="0.35367114788004139"/>
          <c:y val="2.0338983050847456E-2"/>
        </c:manualLayout>
      </c:layout>
      <c:spPr>
        <a:noFill/>
        <a:ln w="25400">
          <a:noFill/>
        </a:ln>
      </c:spPr>
    </c:title>
    <c:plotArea>
      <c:layout>
        <c:manualLayout>
          <c:layoutTarget val="inner"/>
          <c:xMode val="edge"/>
          <c:yMode val="edge"/>
          <c:x val="6.9286452947259561E-2"/>
          <c:y val="0.12542372881355932"/>
          <c:w val="0.86246122026887284"/>
          <c:h val="0.6322033898305085"/>
        </c:manualLayout>
      </c:layout>
      <c:barChart>
        <c:barDir val="col"/>
        <c:grouping val="clustered"/>
        <c:ser>
          <c:idx val="0"/>
          <c:order val="0"/>
          <c:tx>
            <c:strRef>
              <c:f>'Online data'!$N$2</c:f>
              <c:strCache>
                <c:ptCount val="1"/>
                <c:pt idx="0">
                  <c:v>Fram</c:v>
                </c:pt>
              </c:strCache>
            </c:strRef>
          </c:tx>
          <c:spPr>
            <a:solidFill>
              <a:srgbClr val="FF0000"/>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data'!$N$6:$N$30</c:f>
              <c:numCache>
                <c:formatCode>General</c:formatCode>
                <c:ptCount val="25"/>
                <c:pt idx="1">
                  <c:v>86.5</c:v>
                </c:pt>
                <c:pt idx="2">
                  <c:v>93.7</c:v>
                </c:pt>
                <c:pt idx="3">
                  <c:v>91.1</c:v>
                </c:pt>
                <c:pt idx="4">
                  <c:v>87.8</c:v>
                </c:pt>
                <c:pt idx="5">
                  <c:v>66.099999999999994</c:v>
                </c:pt>
                <c:pt idx="6">
                  <c:v>87.6</c:v>
                </c:pt>
                <c:pt idx="7">
                  <c:v>87.7</c:v>
                </c:pt>
                <c:pt idx="8">
                  <c:v>88.8</c:v>
                </c:pt>
                <c:pt idx="9">
                  <c:v>89.4</c:v>
                </c:pt>
                <c:pt idx="10">
                  <c:v>90.8</c:v>
                </c:pt>
                <c:pt idx="11">
                  <c:v>100.1</c:v>
                </c:pt>
                <c:pt idx="12">
                  <c:v>101.2</c:v>
                </c:pt>
                <c:pt idx="13">
                  <c:v>88.4</c:v>
                </c:pt>
                <c:pt idx="14">
                  <c:v>92</c:v>
                </c:pt>
                <c:pt idx="15">
                  <c:v>90.2</c:v>
                </c:pt>
                <c:pt idx="16">
                  <c:v>93.3</c:v>
                </c:pt>
                <c:pt idx="17">
                  <c:v>90.8</c:v>
                </c:pt>
                <c:pt idx="18" formatCode="0.0">
                  <c:v>92.6</c:v>
                </c:pt>
                <c:pt idx="19">
                  <c:v>92.1</c:v>
                </c:pt>
                <c:pt idx="20">
                  <c:v>92</c:v>
                </c:pt>
                <c:pt idx="21">
                  <c:v>96</c:v>
                </c:pt>
                <c:pt idx="22">
                  <c:v>93.8</c:v>
                </c:pt>
                <c:pt idx="23">
                  <c:v>94.8</c:v>
                </c:pt>
                <c:pt idx="24">
                  <c:v>105.1</c:v>
                </c:pt>
              </c:numCache>
            </c:numRef>
          </c:val>
        </c:ser>
        <c:ser>
          <c:idx val="1"/>
          <c:order val="1"/>
          <c:tx>
            <c:strRef>
              <c:f>'Online data'!$O$2</c:f>
              <c:strCache>
                <c:ptCount val="1"/>
                <c:pt idx="0">
                  <c:v>Retur</c:v>
                </c:pt>
              </c:strCache>
            </c:strRef>
          </c:tx>
          <c:spPr>
            <a:solidFill>
              <a:srgbClr val="3366FF"/>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data'!$O$6:$O$30</c:f>
              <c:numCache>
                <c:formatCode>General</c:formatCode>
                <c:ptCount val="25"/>
                <c:pt idx="1">
                  <c:v>41.7</c:v>
                </c:pt>
                <c:pt idx="2">
                  <c:v>46.2</c:v>
                </c:pt>
                <c:pt idx="3">
                  <c:v>53.9</c:v>
                </c:pt>
                <c:pt idx="4">
                  <c:v>30.1</c:v>
                </c:pt>
                <c:pt idx="5">
                  <c:v>35.9</c:v>
                </c:pt>
                <c:pt idx="6">
                  <c:v>38.200000000000003</c:v>
                </c:pt>
                <c:pt idx="7">
                  <c:v>42.7</c:v>
                </c:pt>
                <c:pt idx="8">
                  <c:v>46</c:v>
                </c:pt>
                <c:pt idx="9">
                  <c:v>46.4</c:v>
                </c:pt>
                <c:pt idx="10">
                  <c:v>44.1</c:v>
                </c:pt>
                <c:pt idx="11">
                  <c:v>55</c:v>
                </c:pt>
                <c:pt idx="12">
                  <c:v>38.700000000000003</c:v>
                </c:pt>
                <c:pt idx="13">
                  <c:v>32.200000000000003</c:v>
                </c:pt>
                <c:pt idx="14">
                  <c:v>50</c:v>
                </c:pt>
                <c:pt idx="15">
                  <c:v>42.3</c:v>
                </c:pt>
                <c:pt idx="16">
                  <c:v>39</c:v>
                </c:pt>
                <c:pt idx="17">
                  <c:v>38.1</c:v>
                </c:pt>
                <c:pt idx="18" formatCode="0.0">
                  <c:v>43.4</c:v>
                </c:pt>
                <c:pt idx="19">
                  <c:v>48.7</c:v>
                </c:pt>
                <c:pt idx="20">
                  <c:v>44</c:v>
                </c:pt>
                <c:pt idx="21">
                  <c:v>43</c:v>
                </c:pt>
                <c:pt idx="22">
                  <c:v>46.3</c:v>
                </c:pt>
                <c:pt idx="23">
                  <c:v>41.6</c:v>
                </c:pt>
                <c:pt idx="24">
                  <c:v>47.1</c:v>
                </c:pt>
              </c:numCache>
            </c:numRef>
          </c:val>
        </c:ser>
        <c:axId val="63245696"/>
        <c:axId val="63305216"/>
      </c:barChart>
      <c:catAx>
        <c:axId val="63245696"/>
        <c:scaling>
          <c:orientation val="minMax"/>
        </c:scaling>
        <c:axPos val="b"/>
        <c:title>
          <c:tx>
            <c:rich>
              <a:bodyPr/>
              <a:lstStyle/>
              <a:p>
                <a:pPr>
                  <a:defRPr sz="1000" b="1" i="0" u="none" strike="noStrike" baseline="0">
                    <a:solidFill>
                      <a:srgbClr val="000000"/>
                    </a:solidFill>
                    <a:latin typeface="Arial"/>
                    <a:ea typeface="Arial"/>
                    <a:cs typeface="Arial"/>
                  </a:defRPr>
                </a:pPr>
                <a:r>
                  <a:t>Fjärrvärmecentraler</a:t>
                </a:r>
              </a:p>
            </c:rich>
          </c:tx>
          <c:layout>
            <c:manualLayout>
              <c:xMode val="edge"/>
              <c:yMode val="edge"/>
              <c:x val="0.43329886246122029"/>
              <c:y val="0.94237288135593222"/>
            </c:manualLayout>
          </c:layout>
          <c:spPr>
            <a:noFill/>
            <a:ln w="25400">
              <a:noFill/>
            </a:ln>
          </c:spPr>
        </c:title>
        <c:numFmt formatCode="General" sourceLinked="1"/>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sv-SE"/>
          </a:p>
        </c:txPr>
        <c:crossAx val="63305216"/>
        <c:crosses val="autoZero"/>
        <c:auto val="1"/>
        <c:lblAlgn val="ctr"/>
        <c:lblOffset val="100"/>
        <c:tickLblSkip val="1"/>
        <c:tickMarkSkip val="1"/>
      </c:catAx>
      <c:valAx>
        <c:axId val="63305216"/>
        <c:scaling>
          <c:orientation val="minMax"/>
        </c:scaling>
        <c:axPos val="l"/>
        <c:majorGridlines>
          <c:spPr>
            <a:ln w="3175">
              <a:solidFill>
                <a:srgbClr val="000000"/>
              </a:solidFill>
              <a:prstDash val="solid"/>
            </a:ln>
          </c:spPr>
        </c:majorGridlines>
        <c:title>
          <c:tx>
            <c:rich>
              <a:bodyPr/>
              <a:lstStyle/>
              <a:p>
                <a:pPr>
                  <a:defRPr sz="1000" b="1" i="0" u="none" strike="noStrike" baseline="0">
                    <a:solidFill>
                      <a:srgbClr val="000000"/>
                    </a:solidFill>
                    <a:latin typeface="Arial"/>
                    <a:ea typeface="Arial"/>
                    <a:cs typeface="Arial"/>
                  </a:defRPr>
                </a:pPr>
                <a:r>
                  <a:t>Temperatur</a:t>
                </a:r>
              </a:p>
            </c:rich>
          </c:tx>
          <c:layout>
            <c:manualLayout>
              <c:xMode val="edge"/>
              <c:yMode val="edge"/>
              <c:x val="1.1375387797311272E-2"/>
              <c:y val="0.37457627118644066"/>
            </c:manualLayout>
          </c:layout>
          <c:spPr>
            <a:noFill/>
            <a:ln w="25400">
              <a:noFill/>
            </a:ln>
          </c:spPr>
        </c:title>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sv-SE"/>
          </a:p>
        </c:txPr>
        <c:crossAx val="63245696"/>
        <c:crosses val="autoZero"/>
        <c:crossBetween val="between"/>
      </c:valAx>
      <c:spPr>
        <a:solidFill>
          <a:srgbClr val="C0C0C0"/>
        </a:solidFill>
        <a:ln w="12700">
          <a:solidFill>
            <a:srgbClr val="808080"/>
          </a:solidFill>
          <a:prstDash val="solid"/>
        </a:ln>
      </c:spPr>
    </c:plotArea>
    <c:legend>
      <c:legendPos val="r"/>
      <c:layout>
        <c:manualLayout>
          <c:xMode val="edge"/>
          <c:yMode val="edge"/>
          <c:wMode val="edge"/>
          <c:hMode val="edge"/>
          <c:x val="0.94312306101344368"/>
          <c:y val="0.40508474576271186"/>
          <c:w val="0.99586349534643226"/>
          <c:h val="0.47796610169491527"/>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sv-SE"/>
        </a:p>
      </c:txPr>
    </c:legend>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sv-SE"/>
    </a:p>
  </c:txPr>
</c:chartSpace>
</file>

<file path=xl/charts/chart3.xml><?xml version="1.0" encoding="utf-8"?>
<c:chartSpace xmlns:c="http://schemas.openxmlformats.org/drawingml/2006/chart" xmlns:a="http://schemas.openxmlformats.org/drawingml/2006/main" xmlns:r="http://schemas.openxmlformats.org/officeDocument/2006/relationships">
  <c:lang val="sv-SE"/>
  <c:chart>
    <c:title>
      <c:tx>
        <c:rich>
          <a:bodyPr/>
          <a:lstStyle/>
          <a:p>
            <a:pPr>
              <a:defRPr sz="1000" b="0" i="0" u="none" strike="noStrike" baseline="0">
                <a:solidFill>
                  <a:srgbClr val="000000"/>
                </a:solidFill>
                <a:latin typeface="Arial"/>
                <a:ea typeface="Arial"/>
                <a:cs typeface="Arial"/>
              </a:defRPr>
            </a:pPr>
            <a:r>
              <a:rPr lang="sv-SE" sz="1200" b="1" i="0" u="none" strike="noStrike" baseline="0">
                <a:solidFill>
                  <a:srgbClr val="000000"/>
                </a:solidFill>
                <a:latin typeface="Arial"/>
                <a:cs typeface="Arial"/>
              </a:rPr>
              <a:t>Värme1 radiator </a:t>
            </a:r>
            <a:r>
              <a:rPr lang="sv-SE" sz="1200" b="0" i="0" u="none" strike="noStrike" baseline="0">
                <a:solidFill>
                  <a:srgbClr val="000000"/>
                </a:solidFill>
                <a:latin typeface="Arial"/>
                <a:cs typeface="Arial"/>
              </a:rPr>
              <a:t>(uppdateras var 15:e minut)</a:t>
            </a:r>
          </a:p>
        </c:rich>
      </c:tx>
      <c:layout>
        <c:manualLayout>
          <c:xMode val="edge"/>
          <c:yMode val="edge"/>
          <c:x val="0.33402275077559462"/>
          <c:y val="2.0338983050847456E-2"/>
        </c:manualLayout>
      </c:layout>
      <c:spPr>
        <a:noFill/>
        <a:ln w="25400">
          <a:noFill/>
        </a:ln>
      </c:spPr>
    </c:title>
    <c:plotArea>
      <c:layout>
        <c:manualLayout>
          <c:layoutTarget val="inner"/>
          <c:xMode val="edge"/>
          <c:yMode val="edge"/>
          <c:x val="6.2047569803516028E-2"/>
          <c:y val="0.12542372881355932"/>
          <c:w val="0.86970010341261639"/>
          <c:h val="0.67288135593220344"/>
        </c:manualLayout>
      </c:layout>
      <c:barChart>
        <c:barDir val="col"/>
        <c:grouping val="clustered"/>
        <c:ser>
          <c:idx val="0"/>
          <c:order val="0"/>
          <c:tx>
            <c:strRef>
              <c:f>'Online data'!$J$2</c:f>
              <c:strCache>
                <c:ptCount val="1"/>
                <c:pt idx="0">
                  <c:v>Ute</c:v>
                </c:pt>
              </c:strCache>
            </c:strRef>
          </c:tx>
          <c:spPr>
            <a:solidFill>
              <a:srgbClr val="99CC00"/>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data'!$J$6:$J$30</c:f>
              <c:numCache>
                <c:formatCode>General</c:formatCode>
                <c:ptCount val="25"/>
                <c:pt idx="1">
                  <c:v>-5.3</c:v>
                </c:pt>
                <c:pt idx="2">
                  <c:v>-3.3</c:v>
                </c:pt>
                <c:pt idx="3">
                  <c:v>-6.2</c:v>
                </c:pt>
                <c:pt idx="4">
                  <c:v>-4.7</c:v>
                </c:pt>
                <c:pt idx="5">
                  <c:v>9.6</c:v>
                </c:pt>
                <c:pt idx="6">
                  <c:v>-5</c:v>
                </c:pt>
                <c:pt idx="7">
                  <c:v>-5</c:v>
                </c:pt>
                <c:pt idx="8">
                  <c:v>-4.8</c:v>
                </c:pt>
                <c:pt idx="9">
                  <c:v>-4.8</c:v>
                </c:pt>
                <c:pt idx="10">
                  <c:v>-3.3</c:v>
                </c:pt>
                <c:pt idx="11">
                  <c:v>-5.6</c:v>
                </c:pt>
                <c:pt idx="12">
                  <c:v>-5.7</c:v>
                </c:pt>
                <c:pt idx="13">
                  <c:v>-6.6</c:v>
                </c:pt>
                <c:pt idx="14">
                  <c:v>-4.2</c:v>
                </c:pt>
                <c:pt idx="15">
                  <c:v>-5.3</c:v>
                </c:pt>
                <c:pt idx="16">
                  <c:v>-3.4</c:v>
                </c:pt>
                <c:pt idx="17">
                  <c:v>-3.3</c:v>
                </c:pt>
                <c:pt idx="18" formatCode="0.0">
                  <c:v>-4.9000000000000004</c:v>
                </c:pt>
                <c:pt idx="19">
                  <c:v>-5.3</c:v>
                </c:pt>
                <c:pt idx="20">
                  <c:v>-4</c:v>
                </c:pt>
                <c:pt idx="21">
                  <c:v>-5.5</c:v>
                </c:pt>
                <c:pt idx="22">
                  <c:v>-5.5</c:v>
                </c:pt>
                <c:pt idx="23">
                  <c:v>-5.2</c:v>
                </c:pt>
                <c:pt idx="24">
                  <c:v>-3.6</c:v>
                </c:pt>
              </c:numCache>
            </c:numRef>
          </c:val>
        </c:ser>
        <c:ser>
          <c:idx val="1"/>
          <c:order val="1"/>
          <c:tx>
            <c:strRef>
              <c:f>'Online data'!$R$2</c:f>
              <c:strCache>
                <c:ptCount val="1"/>
                <c:pt idx="0">
                  <c:v>Fram</c:v>
                </c:pt>
              </c:strCache>
            </c:strRef>
          </c:tx>
          <c:spPr>
            <a:solidFill>
              <a:srgbClr val="FF0000"/>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data'!$R$6:$R$30</c:f>
              <c:numCache>
                <c:formatCode>General</c:formatCode>
                <c:ptCount val="25"/>
                <c:pt idx="1">
                  <c:v>43.6</c:v>
                </c:pt>
                <c:pt idx="2">
                  <c:v>53.1</c:v>
                </c:pt>
                <c:pt idx="3">
                  <c:v>56.1</c:v>
                </c:pt>
                <c:pt idx="4">
                  <c:v>54.3</c:v>
                </c:pt>
                <c:pt idx="5">
                  <c:v>39.700000000000003</c:v>
                </c:pt>
                <c:pt idx="6">
                  <c:v>45.4</c:v>
                </c:pt>
                <c:pt idx="7">
                  <c:v>55.2</c:v>
                </c:pt>
                <c:pt idx="8">
                  <c:v>56.5</c:v>
                </c:pt>
                <c:pt idx="9">
                  <c:v>47.2</c:v>
                </c:pt>
                <c:pt idx="10">
                  <c:v>51</c:v>
                </c:pt>
                <c:pt idx="11">
                  <c:v>52.7</c:v>
                </c:pt>
                <c:pt idx="12">
                  <c:v>52.1</c:v>
                </c:pt>
                <c:pt idx="13">
                  <c:v>51.5</c:v>
                </c:pt>
                <c:pt idx="14">
                  <c:v>58.1</c:v>
                </c:pt>
                <c:pt idx="15">
                  <c:v>55.5</c:v>
                </c:pt>
                <c:pt idx="16">
                  <c:v>48.8</c:v>
                </c:pt>
                <c:pt idx="17">
                  <c:v>54.4</c:v>
                </c:pt>
                <c:pt idx="18" formatCode="0.0">
                  <c:v>54.1</c:v>
                </c:pt>
                <c:pt idx="19">
                  <c:v>56.7</c:v>
                </c:pt>
                <c:pt idx="20">
                  <c:v>54.4</c:v>
                </c:pt>
                <c:pt idx="21">
                  <c:v>56</c:v>
                </c:pt>
                <c:pt idx="22">
                  <c:v>55.8</c:v>
                </c:pt>
                <c:pt idx="23">
                  <c:v>55.7</c:v>
                </c:pt>
                <c:pt idx="24">
                  <c:v>55.1</c:v>
                </c:pt>
              </c:numCache>
            </c:numRef>
          </c:val>
        </c:ser>
        <c:ser>
          <c:idx val="2"/>
          <c:order val="2"/>
          <c:tx>
            <c:strRef>
              <c:f>'Online data'!$S$2</c:f>
              <c:strCache>
                <c:ptCount val="1"/>
                <c:pt idx="0">
                  <c:v>Retur</c:v>
                </c:pt>
              </c:strCache>
            </c:strRef>
          </c:tx>
          <c:spPr>
            <a:solidFill>
              <a:srgbClr val="3366FF"/>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data'!$S$6:$S$30</c:f>
              <c:numCache>
                <c:formatCode>General</c:formatCode>
                <c:ptCount val="25"/>
                <c:pt idx="1">
                  <c:v>37.299999999999997</c:v>
                </c:pt>
                <c:pt idx="2">
                  <c:v>46</c:v>
                </c:pt>
                <c:pt idx="3">
                  <c:v>48.1</c:v>
                </c:pt>
                <c:pt idx="4">
                  <c:v>48.3</c:v>
                </c:pt>
                <c:pt idx="5">
                  <c:v>33.5</c:v>
                </c:pt>
                <c:pt idx="6">
                  <c:v>38.799999999999997</c:v>
                </c:pt>
                <c:pt idx="7">
                  <c:v>45.6</c:v>
                </c:pt>
                <c:pt idx="8">
                  <c:v>46.4</c:v>
                </c:pt>
                <c:pt idx="9">
                  <c:v>41.3</c:v>
                </c:pt>
                <c:pt idx="10">
                  <c:v>45.6</c:v>
                </c:pt>
                <c:pt idx="11">
                  <c:v>44.8</c:v>
                </c:pt>
                <c:pt idx="12">
                  <c:v>42.9</c:v>
                </c:pt>
                <c:pt idx="13">
                  <c:v>41</c:v>
                </c:pt>
                <c:pt idx="14">
                  <c:v>48.5</c:v>
                </c:pt>
                <c:pt idx="15">
                  <c:v>42.3</c:v>
                </c:pt>
                <c:pt idx="16">
                  <c:v>38.9</c:v>
                </c:pt>
                <c:pt idx="17">
                  <c:v>44.9</c:v>
                </c:pt>
                <c:pt idx="18" formatCode="0.0">
                  <c:v>46.5</c:v>
                </c:pt>
                <c:pt idx="19">
                  <c:v>45.7</c:v>
                </c:pt>
                <c:pt idx="20">
                  <c:v>44.1</c:v>
                </c:pt>
                <c:pt idx="21">
                  <c:v>46.6</c:v>
                </c:pt>
                <c:pt idx="22">
                  <c:v>44.5</c:v>
                </c:pt>
                <c:pt idx="23">
                  <c:v>45.5</c:v>
                </c:pt>
                <c:pt idx="24">
                  <c:v>46.8</c:v>
                </c:pt>
              </c:numCache>
            </c:numRef>
          </c:val>
        </c:ser>
        <c:axId val="69029888"/>
        <c:axId val="69031424"/>
      </c:barChart>
      <c:catAx>
        <c:axId val="69029888"/>
        <c:scaling>
          <c:orientation val="minMax"/>
        </c:scaling>
        <c:axPos val="b"/>
        <c:numFmt formatCode="General" sourceLinked="1"/>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sv-SE"/>
          </a:p>
        </c:txPr>
        <c:crossAx val="69031424"/>
        <c:crosses val="autoZero"/>
        <c:auto val="1"/>
        <c:lblAlgn val="ctr"/>
        <c:lblOffset val="100"/>
        <c:tickLblSkip val="1"/>
        <c:tickMarkSkip val="1"/>
      </c:catAx>
      <c:valAx>
        <c:axId val="69031424"/>
        <c:scaling>
          <c:orientation val="minMax"/>
        </c:scaling>
        <c:axPos val="l"/>
        <c:majorGridlines>
          <c:spPr>
            <a:ln w="3175">
              <a:solidFill>
                <a:srgbClr val="000000"/>
              </a:solidFill>
              <a:prstDash val="solid"/>
            </a:ln>
          </c:spPr>
        </c:majorGridlines>
        <c:title>
          <c:tx>
            <c:rich>
              <a:bodyPr/>
              <a:lstStyle/>
              <a:p>
                <a:pPr>
                  <a:defRPr sz="1000" b="1" i="0" u="none" strike="noStrike" baseline="0">
                    <a:solidFill>
                      <a:srgbClr val="000000"/>
                    </a:solidFill>
                    <a:latin typeface="Arial"/>
                    <a:ea typeface="Arial"/>
                    <a:cs typeface="Arial"/>
                  </a:defRPr>
                </a:pPr>
                <a:r>
                  <a:t>Temperatur</a:t>
                </a:r>
              </a:p>
            </c:rich>
          </c:tx>
          <c:layout>
            <c:manualLayout>
              <c:xMode val="edge"/>
              <c:yMode val="edge"/>
              <c:x val="1.1375387797311272E-2"/>
              <c:y val="0.39491525423728813"/>
            </c:manualLayout>
          </c:layout>
          <c:spPr>
            <a:noFill/>
            <a:ln w="25400">
              <a:noFill/>
            </a:ln>
          </c:spPr>
        </c:title>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sv-SE"/>
          </a:p>
        </c:txPr>
        <c:crossAx val="69029888"/>
        <c:crosses val="autoZero"/>
        <c:crossBetween val="between"/>
      </c:valAx>
      <c:spPr>
        <a:solidFill>
          <a:srgbClr val="C0C0C0"/>
        </a:solidFill>
        <a:ln w="12700">
          <a:solidFill>
            <a:srgbClr val="808080"/>
          </a:solidFill>
          <a:prstDash val="solid"/>
        </a:ln>
      </c:spPr>
    </c:plotArea>
    <c:legend>
      <c:legendPos val="r"/>
      <c:layout>
        <c:manualLayout>
          <c:xMode val="edge"/>
          <c:yMode val="edge"/>
          <c:wMode val="edge"/>
          <c:hMode val="edge"/>
          <c:x val="0.94312306101344368"/>
          <c:y val="0.40847457627118644"/>
          <c:w val="0.99586349534643226"/>
          <c:h val="0.51694915254237284"/>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sv-SE"/>
        </a:p>
      </c:txPr>
    </c:legend>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sv-SE"/>
    </a:p>
  </c:txPr>
</c:chartSpace>
</file>

<file path=xl/charts/chart4.xml><?xml version="1.0" encoding="utf-8"?>
<c:chartSpace xmlns:c="http://schemas.openxmlformats.org/drawingml/2006/chart" xmlns:a="http://schemas.openxmlformats.org/drawingml/2006/main" xmlns:r="http://schemas.openxmlformats.org/officeDocument/2006/relationships">
  <c:lang val="sv-SE"/>
  <c:chart>
    <c:title>
      <c:tx>
        <c:rich>
          <a:bodyPr/>
          <a:lstStyle/>
          <a:p>
            <a:pPr>
              <a:defRPr sz="1000" b="0" i="0" u="none" strike="noStrike" baseline="0">
                <a:solidFill>
                  <a:srgbClr val="000000"/>
                </a:solidFill>
                <a:latin typeface="Arial"/>
                <a:ea typeface="Arial"/>
                <a:cs typeface="Arial"/>
              </a:defRPr>
            </a:pPr>
            <a:r>
              <a:rPr lang="sv-SE" sz="1200" b="1" i="0" u="none" strike="noStrike" baseline="0">
                <a:solidFill>
                  <a:srgbClr val="000000"/>
                </a:solidFill>
                <a:latin typeface="Arial"/>
                <a:cs typeface="Arial"/>
              </a:rPr>
              <a:t>Effekt</a:t>
            </a:r>
            <a:r>
              <a:rPr lang="sv-SE" sz="1200" b="0" i="0" u="none" strike="noStrike" baseline="0">
                <a:solidFill>
                  <a:srgbClr val="000000"/>
                </a:solidFill>
                <a:latin typeface="Arial"/>
                <a:cs typeface="Arial"/>
              </a:rPr>
              <a:t> (uppdateras var 15:e minut)</a:t>
            </a:r>
          </a:p>
        </c:rich>
      </c:tx>
      <c:layout>
        <c:manualLayout>
          <c:xMode val="edge"/>
          <c:yMode val="edge"/>
          <c:x val="0.37331954498448811"/>
          <c:y val="2.0338983050847456E-2"/>
        </c:manualLayout>
      </c:layout>
      <c:spPr>
        <a:noFill/>
        <a:ln w="25400">
          <a:noFill/>
        </a:ln>
      </c:spPr>
    </c:title>
    <c:plotArea>
      <c:layout>
        <c:manualLayout>
          <c:layoutTarget val="inner"/>
          <c:xMode val="edge"/>
          <c:yMode val="edge"/>
          <c:x val="4.4467425025853151E-2"/>
          <c:y val="0.12542372881355932"/>
          <c:w val="0.8852119958634953"/>
          <c:h val="0.67288135593220344"/>
        </c:manualLayout>
      </c:layout>
      <c:barChart>
        <c:barDir val="col"/>
        <c:grouping val="clustered"/>
        <c:ser>
          <c:idx val="0"/>
          <c:order val="0"/>
          <c:tx>
            <c:strRef>
              <c:f>'Online data'!$AB$2</c:f>
              <c:strCache>
                <c:ptCount val="1"/>
                <c:pt idx="0">
                  <c:v>Effekt</c:v>
                </c:pt>
              </c:strCache>
            </c:strRef>
          </c:tx>
          <c:spPr>
            <a:solidFill>
              <a:srgbClr val="FF0000"/>
            </a:solidFill>
            <a:ln w="12700">
              <a:solidFill>
                <a:srgbClr val="000000"/>
              </a:solidFill>
              <a:prstDash val="solid"/>
            </a:ln>
          </c:spPr>
          <c:cat>
            <c:strRef>
              <c:f>'Online data'!$C$6:$C$30</c:f>
              <c:strCache>
                <c:ptCount val="25"/>
                <c:pt idx="1">
                  <c:v>Fabamo</c:v>
                </c:pt>
                <c:pt idx="2">
                  <c:v>Smyrna</c:v>
                </c:pt>
                <c:pt idx="3">
                  <c:v>Ormkärrsv.</c:v>
                </c:pt>
                <c:pt idx="4">
                  <c:v>Drabanten</c:v>
                </c:pt>
                <c:pt idx="5">
                  <c:v>Fiskarg. 8</c:v>
                </c:pt>
                <c:pt idx="6">
                  <c:v>Träklotsen 2</c:v>
                </c:pt>
                <c:pt idx="7">
                  <c:v>Karlsvik</c:v>
                </c:pt>
                <c:pt idx="8">
                  <c:v>Päronträdet</c:v>
                </c:pt>
                <c:pt idx="9">
                  <c:v>Sabbatsberg 22</c:v>
                </c:pt>
                <c:pt idx="10">
                  <c:v>Båtsmannen M13</c:v>
                </c:pt>
                <c:pt idx="11">
                  <c:v>Ragnhildsborg söder</c:v>
                </c:pt>
                <c:pt idx="12">
                  <c:v>Ragnhildsborg norr</c:v>
                </c:pt>
                <c:pt idx="13">
                  <c:v>Fågelbärsträdet</c:v>
                </c:pt>
                <c:pt idx="14">
                  <c:v>Valkyrian 24</c:v>
                </c:pt>
                <c:pt idx="15">
                  <c:v>Nattvakten 1</c:v>
                </c:pt>
                <c:pt idx="16">
                  <c:v>Vagnhallen 16</c:v>
                </c:pt>
                <c:pt idx="17">
                  <c:v>Magdalena 2</c:v>
                </c:pt>
                <c:pt idx="18">
                  <c:v>Härden 19</c:v>
                </c:pt>
                <c:pt idx="19">
                  <c:v>Vårt Hus1</c:v>
                </c:pt>
                <c:pt idx="20">
                  <c:v>Flygaren 15-16</c:v>
                </c:pt>
                <c:pt idx="21">
                  <c:v>Sth.hus25 UC14</c:v>
                </c:pt>
                <c:pt idx="22">
                  <c:v>Sth.hus25 UC28</c:v>
                </c:pt>
                <c:pt idx="23">
                  <c:v>Sth.hus25 UC78</c:v>
                </c:pt>
                <c:pt idx="24">
                  <c:v>Ollarsbo</c:v>
                </c:pt>
              </c:strCache>
            </c:strRef>
          </c:cat>
          <c:val>
            <c:numRef>
              <c:f>'Online data'!$AB$6:$AB$30</c:f>
              <c:numCache>
                <c:formatCode>General</c:formatCode>
                <c:ptCount val="25"/>
                <c:pt idx="1">
                  <c:v>39.4</c:v>
                </c:pt>
                <c:pt idx="2">
                  <c:v>455.5</c:v>
                </c:pt>
                <c:pt idx="3">
                  <c:v>130</c:v>
                </c:pt>
                <c:pt idx="4">
                  <c:v>73.599999999999994</c:v>
                </c:pt>
                <c:pt idx="5">
                  <c:v>3.4</c:v>
                </c:pt>
                <c:pt idx="6">
                  <c:v>104.4</c:v>
                </c:pt>
                <c:pt idx="7">
                  <c:v>483.5</c:v>
                </c:pt>
                <c:pt idx="8">
                  <c:v>622.79999999999995</c:v>
                </c:pt>
                <c:pt idx="9">
                  <c:v>318.3</c:v>
                </c:pt>
                <c:pt idx="10">
                  <c:v>121.8</c:v>
                </c:pt>
                <c:pt idx="11">
                  <c:v>373.6</c:v>
                </c:pt>
                <c:pt idx="12">
                  <c:v>361.6</c:v>
                </c:pt>
                <c:pt idx="13">
                  <c:v>0</c:v>
                </c:pt>
                <c:pt idx="14">
                  <c:v>85.8</c:v>
                </c:pt>
                <c:pt idx="15">
                  <c:v>332</c:v>
                </c:pt>
                <c:pt idx="16">
                  <c:v>337.5</c:v>
                </c:pt>
                <c:pt idx="17">
                  <c:v>104.1</c:v>
                </c:pt>
                <c:pt idx="18" formatCode="0.0">
                  <c:v>705.2</c:v>
                </c:pt>
                <c:pt idx="19">
                  <c:v>111</c:v>
                </c:pt>
                <c:pt idx="20">
                  <c:v>208.2</c:v>
                </c:pt>
                <c:pt idx="21">
                  <c:v>203.7</c:v>
                </c:pt>
                <c:pt idx="22">
                  <c:v>165</c:v>
                </c:pt>
                <c:pt idx="23">
                  <c:v>433.5</c:v>
                </c:pt>
                <c:pt idx="24">
                  <c:v>0</c:v>
                </c:pt>
              </c:numCache>
            </c:numRef>
          </c:val>
        </c:ser>
        <c:axId val="63255296"/>
        <c:axId val="63256832"/>
      </c:barChart>
      <c:catAx>
        <c:axId val="63255296"/>
        <c:scaling>
          <c:orientation val="minMax"/>
        </c:scaling>
        <c:axPos val="b"/>
        <c:numFmt formatCode="General" sourceLinked="1"/>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sv-SE"/>
          </a:p>
        </c:txPr>
        <c:crossAx val="63256832"/>
        <c:crosses val="autoZero"/>
        <c:auto val="1"/>
        <c:lblAlgn val="ctr"/>
        <c:lblOffset val="100"/>
        <c:tickLblSkip val="1"/>
        <c:tickMarkSkip val="1"/>
      </c:catAx>
      <c:valAx>
        <c:axId val="6325683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sv-SE"/>
          </a:p>
        </c:txPr>
        <c:crossAx val="63255296"/>
        <c:crosses val="autoZero"/>
        <c:crossBetween val="between"/>
      </c:valAx>
      <c:spPr>
        <a:solidFill>
          <a:srgbClr val="C0C0C0"/>
        </a:solidFill>
        <a:ln w="12700">
          <a:solidFill>
            <a:srgbClr val="808080"/>
          </a:solidFill>
          <a:prstDash val="solid"/>
        </a:ln>
      </c:spPr>
    </c:plotArea>
    <c:legend>
      <c:legendPos val="r"/>
      <c:layout>
        <c:manualLayout>
          <c:xMode val="edge"/>
          <c:yMode val="edge"/>
          <c:wMode val="edge"/>
          <c:hMode val="edge"/>
          <c:x val="0.9410548086866598"/>
          <c:y val="0.44406779661016949"/>
          <c:w val="0.99586349534643226"/>
          <c:h val="0.48135593220338985"/>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sv-SE"/>
        </a:p>
      </c:txPr>
    </c:legend>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sv-SE"/>
    </a:p>
  </c:txPr>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chartsheets/sheet1.xml><?xml version="1.0" encoding="utf-8"?>
<chartsheet xmlns="http://schemas.openxmlformats.org/spreadsheetml/2006/main" xmlns:r="http://schemas.openxmlformats.org/officeDocument/2006/relationships">
  <sheetPr/>
  <sheetViews>
    <sheetView zoomScale="85" workbookViewId="0"/>
  </sheetViews>
  <pageMargins left="0.75" right="0.75" top="1" bottom="1" header="0.5" footer="0.5"/>
  <pageSetup paperSize="9" orientation="landscape" horizontalDpi="96" verticalDpi="96" r:id="rId1"/>
  <headerFooter alignWithMargins="0"/>
  <drawing r:id="rId2"/>
</chartsheet>
</file>

<file path=xl/chartsheets/sheet2.xml><?xml version="1.0" encoding="utf-8"?>
<chartsheet xmlns="http://schemas.openxmlformats.org/spreadsheetml/2006/main" xmlns:r="http://schemas.openxmlformats.org/officeDocument/2006/relationships">
  <sheetPr/>
  <sheetViews>
    <sheetView zoomScale="85" workbookViewId="0"/>
  </sheetViews>
  <pageMargins left="0.75" right="0.75" top="1" bottom="1" header="0.5" footer="0.5"/>
  <headerFooter alignWithMargins="0"/>
  <drawing r:id="rId1"/>
</chartsheet>
</file>

<file path=xl/chartsheets/sheet3.xml><?xml version="1.0" encoding="utf-8"?>
<chartsheet xmlns="http://schemas.openxmlformats.org/spreadsheetml/2006/main" xmlns:r="http://schemas.openxmlformats.org/officeDocument/2006/relationships">
  <sheetPr/>
  <sheetViews>
    <sheetView zoomScale="85" workbookViewId="0"/>
  </sheetViews>
  <pageMargins left="0.75" right="0.75" top="1" bottom="1" header="0.5" footer="0.5"/>
  <pageSetup paperSize="9" orientation="landscape" r:id="rId1"/>
  <headerFooter alignWithMargins="0"/>
  <drawing r:id="rId2"/>
</chartsheet>
</file>

<file path=xl/chartsheets/sheet4.xml><?xml version="1.0" encoding="utf-8"?>
<chartsheet xmlns="http://schemas.openxmlformats.org/spreadsheetml/2006/main" xmlns:r="http://schemas.openxmlformats.org/officeDocument/2006/relationships">
  <sheetPr/>
  <sheetViews>
    <sheetView zoomScale="85" workbookViewId="0"/>
  </sheetViews>
  <pageMargins left="0.75" right="0.75" top="1" bottom="1" header="0.5" footer="0.5"/>
  <headerFooter alignWithMargins="0"/>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absoluteAnchor>
    <xdr:pos x="0" y="0"/>
    <xdr:ext cx="9210675" cy="56197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9210675" cy="56197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0" y="0"/>
    <xdr:ext cx="9210675" cy="56197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210675" cy="56197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queryTables/queryTable1.xml><?xml version="1.0" encoding="utf-8"?>
<queryTable xmlns="http://schemas.openxmlformats.org/spreadsheetml/2006/main" name="Report_VAS_raw" refreshOnLoad="1" growShrinkType="overwriteClear" fillFormulas="1" adjustColumnWidth="0"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3.bin"/></Relationships>
</file>

<file path=xl/worksheets/_rels/sheet2.xml.rels><?xml version="1.0" encoding="UTF-8" standalone="yes"?>
<Relationships xmlns="http://schemas.openxmlformats.org/package/2006/relationships"><Relationship Id="rId26" Type="http://schemas.openxmlformats.org/officeDocument/2006/relationships/hyperlink" Target="http://stockholm1.iqheat.com/alarmhist.asp" TargetMode="External"/><Relationship Id="rId117" Type="http://schemas.openxmlformats.org/officeDocument/2006/relationships/hyperlink" Target="http://stockholm5.iqheat.com/Report200/default.htm" TargetMode="External"/><Relationship Id="rId21" Type="http://schemas.openxmlformats.org/officeDocument/2006/relationships/hyperlink" Target="http://stockholm3.iqheat.com/rw-access/alarmlist.asp" TargetMode="External"/><Relationship Id="rId42" Type="http://schemas.openxmlformats.org/officeDocument/2006/relationships/hyperlink" Target="http://stockholm1.iqheat.com/WriteAccess/dhw.asp" TargetMode="External"/><Relationship Id="rId47" Type="http://schemas.openxmlformats.org/officeDocument/2006/relationships/hyperlink" Target="http://stockholm7.iqheat.com/rw-access/dhw.asp" TargetMode="External"/><Relationship Id="rId63" Type="http://schemas.openxmlformats.org/officeDocument/2006/relationships/hyperlink" Target="http://stockholm10.iqheat.com/" TargetMode="External"/><Relationship Id="rId68" Type="http://schemas.openxmlformats.org/officeDocument/2006/relationships/hyperlink" Target="http://stockholm10.iqheat.com/alarmsetup.asp" TargetMode="External"/><Relationship Id="rId84" Type="http://schemas.openxmlformats.org/officeDocument/2006/relationships/hyperlink" Target="http://vas_avesta02.iqheat.com/" TargetMode="External"/><Relationship Id="rId89" Type="http://schemas.openxmlformats.org/officeDocument/2006/relationships/hyperlink" Target="http://vas_avesta02.iqheat.com/rw-access/alarmsetup.asp" TargetMode="External"/><Relationship Id="rId112" Type="http://schemas.openxmlformats.org/officeDocument/2006/relationships/hyperlink" Target="http://stockholm5.iqheat.com/rw-access/alarmlist.asp" TargetMode="External"/><Relationship Id="rId16" Type="http://schemas.openxmlformats.org/officeDocument/2006/relationships/hyperlink" Target="http://stockholm6.iqheat.com/Report100/default.htm" TargetMode="External"/><Relationship Id="rId107" Type="http://schemas.openxmlformats.org/officeDocument/2006/relationships/hyperlink" Target="http://vas_avesta04.iqheat.com/rw-access/alarmsetup.asp" TargetMode="External"/><Relationship Id="rId11" Type="http://schemas.openxmlformats.org/officeDocument/2006/relationships/hyperlink" Target="http://stockholm7.iqheat.com/" TargetMode="External"/><Relationship Id="rId32" Type="http://schemas.openxmlformats.org/officeDocument/2006/relationships/hyperlink" Target="http://stockholm6.iqheat.com/rw-access/heat1.asp" TargetMode="External"/><Relationship Id="rId37" Type="http://schemas.openxmlformats.org/officeDocument/2006/relationships/hyperlink" Target="http://stockholm4.iqheat.com/WriteAccess/heat1.asp" TargetMode="External"/><Relationship Id="rId53" Type="http://schemas.openxmlformats.org/officeDocument/2006/relationships/hyperlink" Target="http://stockholm6.iqheat.com/alarmsetup.asp" TargetMode="External"/><Relationship Id="rId58" Type="http://schemas.openxmlformats.org/officeDocument/2006/relationships/hyperlink" Target="http://stockholm9.iqheat.com/rw-access/alarmhist.asp" TargetMode="External"/><Relationship Id="rId74" Type="http://schemas.openxmlformats.org/officeDocument/2006/relationships/hyperlink" Target="http://www.sollentunaenergi.se/" TargetMode="External"/><Relationship Id="rId79" Type="http://schemas.openxmlformats.org/officeDocument/2006/relationships/hyperlink" Target="http://vas_avesta01.iqheat.com/rw-access/alarmhist.asp" TargetMode="External"/><Relationship Id="rId102" Type="http://schemas.openxmlformats.org/officeDocument/2006/relationships/hyperlink" Target="http://vas_avesta04.iqheat.com/" TargetMode="External"/><Relationship Id="rId5" Type="http://schemas.openxmlformats.org/officeDocument/2006/relationships/hyperlink" Target="http://stockholm3.iqheat.com/Report200/default.htm" TargetMode="External"/><Relationship Id="rId61" Type="http://schemas.openxmlformats.org/officeDocument/2006/relationships/hyperlink" Target="http://stockholm9.iqheat.com/rw-access/alarmsetup.asp" TargetMode="External"/><Relationship Id="rId82" Type="http://schemas.openxmlformats.org/officeDocument/2006/relationships/hyperlink" Target="http://vas_avesta01.iqheat.com/rw-access/alarmsetup.asp" TargetMode="External"/><Relationship Id="rId90" Type="http://schemas.openxmlformats.org/officeDocument/2006/relationships/hyperlink" Target="http://vas_avesta03.iqheat.com/rw-access/alarmlist.asp" TargetMode="External"/><Relationship Id="rId95" Type="http://schemas.openxmlformats.org/officeDocument/2006/relationships/hyperlink" Target="http://vas_avesta03.iqheat.com/rw-access/dhw.asp" TargetMode="External"/><Relationship Id="rId19" Type="http://schemas.openxmlformats.org/officeDocument/2006/relationships/hyperlink" Target="http://stockholm1.iqheat.com/alarmlist.asp" TargetMode="External"/><Relationship Id="rId14" Type="http://schemas.openxmlformats.org/officeDocument/2006/relationships/hyperlink" Target="http://stockholm8.iqheat.com/Report100/default.htm" TargetMode="External"/><Relationship Id="rId22" Type="http://schemas.openxmlformats.org/officeDocument/2006/relationships/hyperlink" Target="http://stockholm4.iqheat.com/alarmlist.asp" TargetMode="External"/><Relationship Id="rId27" Type="http://schemas.openxmlformats.org/officeDocument/2006/relationships/hyperlink" Target="http://stockholm2.iqheat.com/rw-access/alarmhist.asp" TargetMode="External"/><Relationship Id="rId30" Type="http://schemas.openxmlformats.org/officeDocument/2006/relationships/hyperlink" Target="http://stockholm6.iqheat.com/alarmhist.asp" TargetMode="External"/><Relationship Id="rId35" Type="http://schemas.openxmlformats.org/officeDocument/2006/relationships/hyperlink" Target="http://stockholm2.iqheat.com/rw-access/heat1.asp" TargetMode="External"/><Relationship Id="rId43" Type="http://schemas.openxmlformats.org/officeDocument/2006/relationships/hyperlink" Target="http://stockholm2.iqheat.com/rw-access/dhw.asp" TargetMode="External"/><Relationship Id="rId48" Type="http://schemas.openxmlformats.org/officeDocument/2006/relationships/hyperlink" Target="http://stockholm8.iqheat.com/WriteAccess/dhw.asp" TargetMode="External"/><Relationship Id="rId56" Type="http://schemas.openxmlformats.org/officeDocument/2006/relationships/hyperlink" Target="http://stockholm9.iqheat.com/rw-access/alarmlist.asp" TargetMode="External"/><Relationship Id="rId64" Type="http://schemas.openxmlformats.org/officeDocument/2006/relationships/hyperlink" Target="http://stockholm10.iqheat.com/Report100/default.htm" TargetMode="External"/><Relationship Id="rId69" Type="http://schemas.openxmlformats.org/officeDocument/2006/relationships/hyperlink" Target="http://stockholm3.iqheat.com/" TargetMode="External"/><Relationship Id="rId77" Type="http://schemas.openxmlformats.org/officeDocument/2006/relationships/hyperlink" Target="http://vas_avesta01.iqheat.com/" TargetMode="External"/><Relationship Id="rId100" Type="http://schemas.openxmlformats.org/officeDocument/2006/relationships/hyperlink" Target="http://vas_avesta02.iqheat.com/Report200/default.htm" TargetMode="External"/><Relationship Id="rId105" Type="http://schemas.openxmlformats.org/officeDocument/2006/relationships/hyperlink" Target="http://vas_avesta04.iqheat.com/rw-access/heat1.asp" TargetMode="External"/><Relationship Id="rId113" Type="http://schemas.openxmlformats.org/officeDocument/2006/relationships/hyperlink" Target="http://stockholm5.iqheat.com/rw-access/alarmhist.asp" TargetMode="External"/><Relationship Id="rId118" Type="http://schemas.openxmlformats.org/officeDocument/2006/relationships/hyperlink" Target="http://www.iqheat.com/IQHeat_Siemens/Online_Excel/VAS/Report_VAS.xls" TargetMode="External"/><Relationship Id="rId8" Type="http://schemas.openxmlformats.org/officeDocument/2006/relationships/hyperlink" Target="http://stockholm7.iqheat.com/rw-access/alarmlist.asp" TargetMode="External"/><Relationship Id="rId51" Type="http://schemas.openxmlformats.org/officeDocument/2006/relationships/hyperlink" Target="http://stockholm4.iqheat.com/WriteAccess/alarmsetup.asp" TargetMode="External"/><Relationship Id="rId72" Type="http://schemas.openxmlformats.org/officeDocument/2006/relationships/hyperlink" Target="http://www.nattvakten.nu/" TargetMode="External"/><Relationship Id="rId80" Type="http://schemas.openxmlformats.org/officeDocument/2006/relationships/hyperlink" Target="http://vas_avesta01.iqheat.com/rw-access/heat1.asp" TargetMode="External"/><Relationship Id="rId85" Type="http://schemas.openxmlformats.org/officeDocument/2006/relationships/hyperlink" Target="http://vas_avesta02.iqheat.com/Report100/default.htm" TargetMode="External"/><Relationship Id="rId93" Type="http://schemas.openxmlformats.org/officeDocument/2006/relationships/hyperlink" Target="http://vas_avesta03.iqheat.com/rw-access/alarmhist.asp" TargetMode="External"/><Relationship Id="rId98" Type="http://schemas.openxmlformats.org/officeDocument/2006/relationships/hyperlink" Target="http://vas_avesta01.iqheat.com/Report200/default.htm" TargetMode="External"/><Relationship Id="rId121" Type="http://schemas.openxmlformats.org/officeDocument/2006/relationships/vmlDrawing" Target="../drawings/vmlDrawing1.vml"/><Relationship Id="rId3" Type="http://schemas.openxmlformats.org/officeDocument/2006/relationships/hyperlink" Target="http://stockholm4.iqheat.com/flowchart120.asp" TargetMode="External"/><Relationship Id="rId12" Type="http://schemas.openxmlformats.org/officeDocument/2006/relationships/hyperlink" Target="http://stockholm6.iqheat.com/" TargetMode="External"/><Relationship Id="rId17" Type="http://schemas.openxmlformats.org/officeDocument/2006/relationships/hyperlink" Target="http://stockholm2.iqheat.com/Report100/default.htm" TargetMode="External"/><Relationship Id="rId25" Type="http://schemas.openxmlformats.org/officeDocument/2006/relationships/hyperlink" Target="http://stockholm8.iqheat.com/alarmhist.asp" TargetMode="External"/><Relationship Id="rId33" Type="http://schemas.openxmlformats.org/officeDocument/2006/relationships/hyperlink" Target="http://stockholm1.iqheat.com/WriteAccess/heat1.asp" TargetMode="External"/><Relationship Id="rId38" Type="http://schemas.openxmlformats.org/officeDocument/2006/relationships/hyperlink" Target="http://stockholm3.iqheat.com/rw-access/heat1.asp" TargetMode="External"/><Relationship Id="rId46" Type="http://schemas.openxmlformats.org/officeDocument/2006/relationships/hyperlink" Target="http://stockholm6.iqheat.com/WriteAccess/dhw.asp" TargetMode="External"/><Relationship Id="rId59" Type="http://schemas.openxmlformats.org/officeDocument/2006/relationships/hyperlink" Target="http://stockholm9.iqheat.com/rw-access/heat1.asp" TargetMode="External"/><Relationship Id="rId67" Type="http://schemas.openxmlformats.org/officeDocument/2006/relationships/hyperlink" Target="http://stockholm10.iqheat.com/WriteAccess/dhw.asp" TargetMode="External"/><Relationship Id="rId103" Type="http://schemas.openxmlformats.org/officeDocument/2006/relationships/hyperlink" Target="http://vas_avesta04.iqheat.com/Report100/default.htm" TargetMode="External"/><Relationship Id="rId108" Type="http://schemas.openxmlformats.org/officeDocument/2006/relationships/hyperlink" Target="http://vas_avesta04.iqheat.com/Report200/default.htm" TargetMode="External"/><Relationship Id="rId116" Type="http://schemas.openxmlformats.org/officeDocument/2006/relationships/hyperlink" Target="http://stockholm5.iqheat.com/rw-access/alarmsetup.asp" TargetMode="External"/><Relationship Id="rId20" Type="http://schemas.openxmlformats.org/officeDocument/2006/relationships/hyperlink" Target="http://stockholm2.iqheat.com/rw-access/alarmlist.asp" TargetMode="External"/><Relationship Id="rId41" Type="http://schemas.openxmlformats.org/officeDocument/2006/relationships/hyperlink" Target="http://stockholm4.iqheat.com/WriteAccess/heat3.asp" TargetMode="External"/><Relationship Id="rId54" Type="http://schemas.openxmlformats.org/officeDocument/2006/relationships/hyperlink" Target="http://stockholm7.iqheat.com/alarmsetup.asp" TargetMode="External"/><Relationship Id="rId62" Type="http://schemas.openxmlformats.org/officeDocument/2006/relationships/hyperlink" Target="http://stockholm10.iqheat.com/alarmlist.asp" TargetMode="External"/><Relationship Id="rId70" Type="http://schemas.openxmlformats.org/officeDocument/2006/relationships/hyperlink" Target="http://stockholm9.iqheat.com/" TargetMode="External"/><Relationship Id="rId75" Type="http://schemas.openxmlformats.org/officeDocument/2006/relationships/hyperlink" Target="http://www.iqheat.com/IQHeat_Siemens/Datakommunikation/UserGuide_Internet_Explorer_Settings/UserGuide_IQHeat_Web200_Internet_Explorer_settings.pdf" TargetMode="External"/><Relationship Id="rId83" Type="http://schemas.openxmlformats.org/officeDocument/2006/relationships/hyperlink" Target="http://vas_avesta02.iqheat.com/rw-access/alarmlist.asp" TargetMode="External"/><Relationship Id="rId88" Type="http://schemas.openxmlformats.org/officeDocument/2006/relationships/hyperlink" Target="http://vas_avesta02.iqheat.com/rw-access/dhw.asp" TargetMode="External"/><Relationship Id="rId91" Type="http://schemas.openxmlformats.org/officeDocument/2006/relationships/hyperlink" Target="http://vas_avesta03.iqheat.com/" TargetMode="External"/><Relationship Id="rId96" Type="http://schemas.openxmlformats.org/officeDocument/2006/relationships/hyperlink" Target="http://vas_avesta03.iqheat.com/rw-access/alarmsetup.asp" TargetMode="External"/><Relationship Id="rId111" Type="http://schemas.openxmlformats.org/officeDocument/2006/relationships/hyperlink" Target="http://stockholm5.iqheat.com/Report100/default.htm" TargetMode="External"/><Relationship Id="rId1" Type="http://schemas.openxmlformats.org/officeDocument/2006/relationships/printerSettings" Target="../printerSettings/printerSettings4.bin"/><Relationship Id="rId6" Type="http://schemas.openxmlformats.org/officeDocument/2006/relationships/hyperlink" Target="http://stockholm4.iqheat.com/Report100/default.htm" TargetMode="External"/><Relationship Id="rId15" Type="http://schemas.openxmlformats.org/officeDocument/2006/relationships/hyperlink" Target="http://stockholm7.iqheat.com/Report100/default.htm" TargetMode="External"/><Relationship Id="rId23" Type="http://schemas.openxmlformats.org/officeDocument/2006/relationships/hyperlink" Target="http://stockholm6.iqheat.com/alarmlist.asp" TargetMode="External"/><Relationship Id="rId28" Type="http://schemas.openxmlformats.org/officeDocument/2006/relationships/hyperlink" Target="http://stockholm3.iqheat.com/rw-access/alarmhist.asp" TargetMode="External"/><Relationship Id="rId36" Type="http://schemas.openxmlformats.org/officeDocument/2006/relationships/hyperlink" Target="http://stockholm2.iqheat.com/rw-access/heat2.asp" TargetMode="External"/><Relationship Id="rId49" Type="http://schemas.openxmlformats.org/officeDocument/2006/relationships/hyperlink" Target="http://stockholm1.iqheat.com/WriteAccess/alarmsetup.asp" TargetMode="External"/><Relationship Id="rId57" Type="http://schemas.openxmlformats.org/officeDocument/2006/relationships/hyperlink" Target="http://stockholm9.iqheat.com/Report100/default.htm" TargetMode="External"/><Relationship Id="rId106" Type="http://schemas.openxmlformats.org/officeDocument/2006/relationships/hyperlink" Target="http://vas_avesta04.iqheat.com/rw-access/dhw.asp" TargetMode="External"/><Relationship Id="rId114" Type="http://schemas.openxmlformats.org/officeDocument/2006/relationships/hyperlink" Target="http://stockholm5.iqheat.com/rw-access/heat1.asp" TargetMode="External"/><Relationship Id="rId119" Type="http://schemas.openxmlformats.org/officeDocument/2006/relationships/hyperlink" Target="http://www.iqheat.com/IQHeat_Siemens/Presentation/IQHeat_produktpresentation_svensk_rev9.pdf" TargetMode="External"/><Relationship Id="rId10" Type="http://schemas.openxmlformats.org/officeDocument/2006/relationships/hyperlink" Target="http://stockholm8.iqheat.com/" TargetMode="External"/><Relationship Id="rId31" Type="http://schemas.openxmlformats.org/officeDocument/2006/relationships/hyperlink" Target="http://stockholm7.iqheat.com/rw-access/heat1.asp" TargetMode="External"/><Relationship Id="rId44" Type="http://schemas.openxmlformats.org/officeDocument/2006/relationships/hyperlink" Target="http://stockholm3.iqheat.com/rw-access/dhw.asp" TargetMode="External"/><Relationship Id="rId52" Type="http://schemas.openxmlformats.org/officeDocument/2006/relationships/hyperlink" Target="http://stockholm2.iqheat.com/rw-access/alarmsetup.asp" TargetMode="External"/><Relationship Id="rId60" Type="http://schemas.openxmlformats.org/officeDocument/2006/relationships/hyperlink" Target="http://stockholm9.iqheat.com/rw-access/dhw.asp" TargetMode="External"/><Relationship Id="rId65" Type="http://schemas.openxmlformats.org/officeDocument/2006/relationships/hyperlink" Target="http://stockholm10.iqheat.com/alarmhist.asp" TargetMode="External"/><Relationship Id="rId73" Type="http://schemas.openxmlformats.org/officeDocument/2006/relationships/hyperlink" Target="http://www.fortum.se/" TargetMode="External"/><Relationship Id="rId78" Type="http://schemas.openxmlformats.org/officeDocument/2006/relationships/hyperlink" Target="http://vas_avesta01.iqheat.com/Report100/default.htm" TargetMode="External"/><Relationship Id="rId81" Type="http://schemas.openxmlformats.org/officeDocument/2006/relationships/hyperlink" Target="http://vas_avesta01.iqheat.com/rw-access/dhw.asp" TargetMode="External"/><Relationship Id="rId86" Type="http://schemas.openxmlformats.org/officeDocument/2006/relationships/hyperlink" Target="http://vas_avesta02.iqheat.com/rw-access/alarmhist.asp" TargetMode="External"/><Relationship Id="rId94" Type="http://schemas.openxmlformats.org/officeDocument/2006/relationships/hyperlink" Target="http://vas_avesta03.iqheat.com/rw-access/heat1.asp" TargetMode="External"/><Relationship Id="rId99" Type="http://schemas.openxmlformats.org/officeDocument/2006/relationships/hyperlink" Target="http://vas_avesta03.iqheat.com/Report200/default.htm" TargetMode="External"/><Relationship Id="rId101" Type="http://schemas.openxmlformats.org/officeDocument/2006/relationships/hyperlink" Target="http://vas_avesta04.iqheat.com/rw-access/alarmlist.asp" TargetMode="External"/><Relationship Id="rId122" Type="http://schemas.openxmlformats.org/officeDocument/2006/relationships/comments" Target="../comments1.xml"/><Relationship Id="rId4" Type="http://schemas.openxmlformats.org/officeDocument/2006/relationships/hyperlink" Target="http://stockholm3.iqheat.com/Report100/default.htm" TargetMode="External"/><Relationship Id="rId9" Type="http://schemas.openxmlformats.org/officeDocument/2006/relationships/hyperlink" Target="http://stockholm8.iqheat.com/alarmlist.asp" TargetMode="External"/><Relationship Id="rId13" Type="http://schemas.openxmlformats.org/officeDocument/2006/relationships/hyperlink" Target="http://stockholm2.iqheat.com/" TargetMode="External"/><Relationship Id="rId18" Type="http://schemas.openxmlformats.org/officeDocument/2006/relationships/hyperlink" Target="http://stockholm1.iqheat.com/Report100/default.htm" TargetMode="External"/><Relationship Id="rId39" Type="http://schemas.openxmlformats.org/officeDocument/2006/relationships/hyperlink" Target="http://stockholm3.iqheat.com/rw-access/heat2.asp" TargetMode="External"/><Relationship Id="rId109" Type="http://schemas.openxmlformats.org/officeDocument/2006/relationships/hyperlink" Target="http://vas_avesta04.iqheat.com/rw-access/heat2.asp" TargetMode="External"/><Relationship Id="rId34" Type="http://schemas.openxmlformats.org/officeDocument/2006/relationships/hyperlink" Target="http://stockholm1.iqheat.com/WriteAccess/heat2.asp" TargetMode="External"/><Relationship Id="rId50" Type="http://schemas.openxmlformats.org/officeDocument/2006/relationships/hyperlink" Target="http://stockholm3.iqheat.com/rw-access/alarmsetup.asp" TargetMode="External"/><Relationship Id="rId55" Type="http://schemas.openxmlformats.org/officeDocument/2006/relationships/hyperlink" Target="http://stockholm8.iqheat.com/alarmsetup.asp" TargetMode="External"/><Relationship Id="rId76" Type="http://schemas.openxmlformats.org/officeDocument/2006/relationships/hyperlink" Target="http://vas_avesta01.iqheat.com/rw-access/alarmlist.asp" TargetMode="External"/><Relationship Id="rId97" Type="http://schemas.openxmlformats.org/officeDocument/2006/relationships/hyperlink" Target="http://stockholm8.iqheat.com/WriteAccess/heat1.asp" TargetMode="External"/><Relationship Id="rId104" Type="http://schemas.openxmlformats.org/officeDocument/2006/relationships/hyperlink" Target="http://vas_avesta04.iqheat.com/rw-access/alarmhist.asp" TargetMode="External"/><Relationship Id="rId120" Type="http://schemas.openxmlformats.org/officeDocument/2006/relationships/printerSettings" Target="../printerSettings/printerSettings5.bin"/><Relationship Id="rId7" Type="http://schemas.openxmlformats.org/officeDocument/2006/relationships/hyperlink" Target="http://stockholm4.iqheat.com/Report200/default.htm" TargetMode="External"/><Relationship Id="rId71" Type="http://schemas.openxmlformats.org/officeDocument/2006/relationships/hyperlink" Target="http://stockholm9.iqheat.com/rw-access/heat2.asp" TargetMode="External"/><Relationship Id="rId92" Type="http://schemas.openxmlformats.org/officeDocument/2006/relationships/hyperlink" Target="http://vas_avesta03.iqheat.com/Report100/default.htm" TargetMode="External"/><Relationship Id="rId2" Type="http://schemas.openxmlformats.org/officeDocument/2006/relationships/hyperlink" Target="http://stockholm1.iqheat.com/flowchart51.asp" TargetMode="External"/><Relationship Id="rId29" Type="http://schemas.openxmlformats.org/officeDocument/2006/relationships/hyperlink" Target="http://stockholm4.iqheat.com/alarmhist.asp" TargetMode="External"/><Relationship Id="rId24" Type="http://schemas.openxmlformats.org/officeDocument/2006/relationships/hyperlink" Target="http://stockholm7.iqheat.com/rw-accessalarmhist.asp" TargetMode="External"/><Relationship Id="rId40" Type="http://schemas.openxmlformats.org/officeDocument/2006/relationships/hyperlink" Target="http://stockholm4.iqheat.com/WriteAccess/heat2.asp" TargetMode="External"/><Relationship Id="rId45" Type="http://schemas.openxmlformats.org/officeDocument/2006/relationships/hyperlink" Target="http://stockholm4.iqheat.com/WriteAccess/dhw.asp" TargetMode="External"/><Relationship Id="rId66" Type="http://schemas.openxmlformats.org/officeDocument/2006/relationships/hyperlink" Target="http://stockholm10.iqheat.com/WriteAccess/heat1.asp" TargetMode="External"/><Relationship Id="rId87" Type="http://schemas.openxmlformats.org/officeDocument/2006/relationships/hyperlink" Target="http://vas_avesta02.iqheat.com/rw-access/heat1.asp" TargetMode="External"/><Relationship Id="rId110" Type="http://schemas.openxmlformats.org/officeDocument/2006/relationships/hyperlink" Target="http://stockholm5.iqheat.com/" TargetMode="External"/><Relationship Id="rId115" Type="http://schemas.openxmlformats.org/officeDocument/2006/relationships/hyperlink" Target="http://stockholm5.iqheat.com/rw-access/dhw.asp"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www.nattvakten.nu/" TargetMode="External"/><Relationship Id="rId13" Type="http://schemas.openxmlformats.org/officeDocument/2006/relationships/hyperlink" Target="mailto:bengt.saberg@gillesvik.se" TargetMode="External"/><Relationship Id="rId18" Type="http://schemas.openxmlformats.org/officeDocument/2006/relationships/hyperlink" Target="mailto:Micke@gillesvik.se" TargetMode="External"/><Relationship Id="rId26" Type="http://schemas.openxmlformats.org/officeDocument/2006/relationships/hyperlink" Target="mailto:fraser.dick@comhem.se" TargetMode="External"/><Relationship Id="rId39" Type="http://schemas.openxmlformats.org/officeDocument/2006/relationships/hyperlink" Target="mailto:robert.eckerstedt@teoge.se" TargetMode="External"/><Relationship Id="rId3" Type="http://schemas.openxmlformats.org/officeDocument/2006/relationships/hyperlink" Target="mailto:magnus.bergen@vega-energi.se" TargetMode="External"/><Relationship Id="rId21" Type="http://schemas.openxmlformats.org/officeDocument/2006/relationships/hyperlink" Target="mailto:stefan@sundhfastigheter.se" TargetMode="External"/><Relationship Id="rId34" Type="http://schemas.openxmlformats.org/officeDocument/2006/relationships/hyperlink" Target="mailto:andreas@slinde.se" TargetMode="External"/><Relationship Id="rId42" Type="http://schemas.openxmlformats.org/officeDocument/2006/relationships/hyperlink" Target="mailto:mans.lindstrom@vega-energi.se" TargetMode="External"/><Relationship Id="rId7" Type="http://schemas.openxmlformats.org/officeDocument/2006/relationships/hyperlink" Target="mailto:hanben@fabamo.se" TargetMode="External"/><Relationship Id="rId12" Type="http://schemas.openxmlformats.org/officeDocument/2006/relationships/hyperlink" Target="mailto:gunnar.akner@comhem.se" TargetMode="External"/><Relationship Id="rId17" Type="http://schemas.openxmlformats.org/officeDocument/2006/relationships/hyperlink" Target="mailto:Micke@gillesvik.se" TargetMode="External"/><Relationship Id="rId25" Type="http://schemas.openxmlformats.org/officeDocument/2006/relationships/hyperlink" Target="mailto:hakan.berglund@sollentunaenergi.se" TargetMode="External"/><Relationship Id="rId33" Type="http://schemas.openxmlformats.org/officeDocument/2006/relationships/hyperlink" Target="mailto:ailto:hakan.seidl@riba.se" TargetMode="External"/><Relationship Id="rId38" Type="http://schemas.openxmlformats.org/officeDocument/2006/relationships/hyperlink" Target="mailto:peter@sundhfastigheter.se" TargetMode="External"/><Relationship Id="rId2" Type="http://schemas.openxmlformats.org/officeDocument/2006/relationships/hyperlink" Target="mailto:bengt.saberg@teoge.se" TargetMode="External"/><Relationship Id="rId16" Type="http://schemas.openxmlformats.org/officeDocument/2006/relationships/hyperlink" Target="mailto:Micke@gillesvik.se" TargetMode="External"/><Relationship Id="rId20" Type="http://schemas.openxmlformats.org/officeDocument/2006/relationships/hyperlink" Target="mailto:stefan@sundhfastigheter.se" TargetMode="External"/><Relationship Id="rId29" Type="http://schemas.openxmlformats.org/officeDocument/2006/relationships/hyperlink" Target="mailto:lennart.gehrke@vega-energi.se" TargetMode="External"/><Relationship Id="rId41" Type="http://schemas.openxmlformats.org/officeDocument/2006/relationships/hyperlink" Target="mailto:bengt.saberg@teoge.se" TargetMode="External"/><Relationship Id="rId1" Type="http://schemas.openxmlformats.org/officeDocument/2006/relationships/hyperlink" Target="mailto:johan.johansson@fabamo.se" TargetMode="External"/><Relationship Id="rId6" Type="http://schemas.openxmlformats.org/officeDocument/2006/relationships/hyperlink" Target="mailto:lonegard@hotmail.com" TargetMode="External"/><Relationship Id="rId11" Type="http://schemas.openxmlformats.org/officeDocument/2006/relationships/hyperlink" Target="mailto:info@aphos.se" TargetMode="External"/><Relationship Id="rId24" Type="http://schemas.openxmlformats.org/officeDocument/2006/relationships/hyperlink" Target="mailto:Johan.Eriksson@kraftkultur.com" TargetMode="External"/><Relationship Id="rId32" Type="http://schemas.openxmlformats.org/officeDocument/2006/relationships/hyperlink" Target="mailto:agne.svenberg@oem.se" TargetMode="External"/><Relationship Id="rId37" Type="http://schemas.openxmlformats.org/officeDocument/2006/relationships/hyperlink" Target="mailto:malin.biehl@aphos.se" TargetMode="External"/><Relationship Id="rId40" Type="http://schemas.openxmlformats.org/officeDocument/2006/relationships/hyperlink" Target="mailto:julia.gradin@teoge.se" TargetMode="External"/><Relationship Id="rId45" Type="http://schemas.openxmlformats.org/officeDocument/2006/relationships/hyperlink" Target="mailto:christer@blom.ee" TargetMode="External"/><Relationship Id="rId5" Type="http://schemas.openxmlformats.org/officeDocument/2006/relationships/hyperlink" Target="mailto:ingalill.seo@bredband.net" TargetMode="External"/><Relationship Id="rId15" Type="http://schemas.openxmlformats.org/officeDocument/2006/relationships/hyperlink" Target="mailto:Micke@gillesvik.se" TargetMode="External"/><Relationship Id="rId23" Type="http://schemas.openxmlformats.org/officeDocument/2006/relationships/hyperlink" Target="mailto:jan.asztely@bredband.net" TargetMode="External"/><Relationship Id="rId28" Type="http://schemas.openxmlformats.org/officeDocument/2006/relationships/hyperlink" Target="mailto:info@aphos.se" TargetMode="External"/><Relationship Id="rId36" Type="http://schemas.openxmlformats.org/officeDocument/2006/relationships/hyperlink" Target="mailto:olle.berntson@afaforsakring.se" TargetMode="External"/><Relationship Id="rId10" Type="http://schemas.openxmlformats.org/officeDocument/2006/relationships/hyperlink" Target="mailto:geparden@spray.se" TargetMode="External"/><Relationship Id="rId19" Type="http://schemas.openxmlformats.org/officeDocument/2006/relationships/hyperlink" Target="mailto:Ewa.Lind@upplands-bro.se" TargetMode="External"/><Relationship Id="rId31" Type="http://schemas.openxmlformats.org/officeDocument/2006/relationships/hyperlink" Target="mailto:malin.biehl@aphos.se" TargetMode="External"/><Relationship Id="rId44" Type="http://schemas.openxmlformats.org/officeDocument/2006/relationships/hyperlink" Target="mailto:ulf.trygger@swipnet.se" TargetMode="External"/><Relationship Id="rId4" Type="http://schemas.openxmlformats.org/officeDocument/2006/relationships/hyperlink" Target="mailto:bertil_eklund@bredband.net" TargetMode="External"/><Relationship Id="rId9" Type="http://schemas.openxmlformats.org/officeDocument/2006/relationships/hyperlink" Target="mailto:stefan@nattvakten.nu" TargetMode="External"/><Relationship Id="rId14" Type="http://schemas.openxmlformats.org/officeDocument/2006/relationships/hyperlink" Target="mailto:Micke@gillesvik.se" TargetMode="External"/><Relationship Id="rId22" Type="http://schemas.openxmlformats.org/officeDocument/2006/relationships/hyperlink" Target="mailto:stefan@sundhfastigheter.se" TargetMode="External"/><Relationship Id="rId27" Type="http://schemas.openxmlformats.org/officeDocument/2006/relationships/hyperlink" Target="mailto:lars.blixt@stofast.se" TargetMode="External"/><Relationship Id="rId30" Type="http://schemas.openxmlformats.org/officeDocument/2006/relationships/hyperlink" Target="mailto:stefan@sundhfastigheter.se" TargetMode="External"/><Relationship Id="rId35" Type="http://schemas.openxmlformats.org/officeDocument/2006/relationships/hyperlink" Target="mailto:peter.gibbson@riba.se" TargetMode="External"/><Relationship Id="rId43" Type="http://schemas.openxmlformats.org/officeDocument/2006/relationships/hyperlink" Target="mailto:kjell@brfjupiter.se"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ingalill.seo@bredband.net" TargetMode="External"/><Relationship Id="rId13" Type="http://schemas.openxmlformats.org/officeDocument/2006/relationships/hyperlink" Target="http://www.nattvakten.nu/" TargetMode="External"/><Relationship Id="rId3" Type="http://schemas.openxmlformats.org/officeDocument/2006/relationships/hyperlink" Target="mailto:bengt.saberg@gillesvik.se" TargetMode="External"/><Relationship Id="rId7" Type="http://schemas.openxmlformats.org/officeDocument/2006/relationships/hyperlink" Target="mailto:bertil_eklund@bredband.net" TargetMode="External"/><Relationship Id="rId12" Type="http://schemas.openxmlformats.org/officeDocument/2006/relationships/hyperlink" Target="mailto:hanben@fabamo.se" TargetMode="External"/><Relationship Id="rId2" Type="http://schemas.openxmlformats.org/officeDocument/2006/relationships/hyperlink" Target="mailto:bengt.saberg@gillesvik.se" TargetMode="External"/><Relationship Id="rId1" Type="http://schemas.openxmlformats.org/officeDocument/2006/relationships/hyperlink" Target="mailto:johan.johansson@fabamo.se" TargetMode="External"/><Relationship Id="rId6" Type="http://schemas.openxmlformats.org/officeDocument/2006/relationships/hyperlink" Target="mailto:mattias.sund@vega-energi.se" TargetMode="External"/><Relationship Id="rId11" Type="http://schemas.openxmlformats.org/officeDocument/2006/relationships/hyperlink" Target="mailto:lonegard@hotmail.com" TargetMode="External"/><Relationship Id="rId5" Type="http://schemas.openxmlformats.org/officeDocument/2006/relationships/hyperlink" Target="mailto:magnus.bergen@vega-energi.se" TargetMode="External"/><Relationship Id="rId15" Type="http://schemas.openxmlformats.org/officeDocument/2006/relationships/printerSettings" Target="../printerSettings/printerSettings6.bin"/><Relationship Id="rId10" Type="http://schemas.openxmlformats.org/officeDocument/2006/relationships/hyperlink" Target="mailto:mans.lindstrom@vega-energi.se" TargetMode="External"/><Relationship Id="rId4" Type="http://schemas.openxmlformats.org/officeDocument/2006/relationships/hyperlink" Target="mailto:kallmark@kth.se" TargetMode="External"/><Relationship Id="rId9" Type="http://schemas.openxmlformats.org/officeDocument/2006/relationships/hyperlink" Target="mailto:tony.frey@vega-energi.se" TargetMode="External"/><Relationship Id="rId14" Type="http://schemas.openxmlformats.org/officeDocument/2006/relationships/hyperlink" Target="mailto:stefan@nattvakten.nu"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GW91"/>
  <sheetViews>
    <sheetView tabSelected="1" zoomScale="115" workbookViewId="0">
      <pane xSplit="3" ySplit="5" topLeftCell="D6" activePane="bottomRight" state="frozen"/>
      <selection pane="topRight" activeCell="D1" sqref="D1"/>
      <selection pane="bottomLeft" activeCell="A6" sqref="A6"/>
      <selection pane="bottomRight" activeCell="A9" sqref="A9"/>
    </sheetView>
  </sheetViews>
  <sheetFormatPr defaultRowHeight="12.75"/>
  <cols>
    <col min="1" max="1" width="9.140625" style="97"/>
    <col min="2" max="2" width="10.5703125" style="97" customWidth="1"/>
    <col min="3" max="3" width="18.7109375" style="97" customWidth="1"/>
    <col min="4" max="4" width="6.28515625" style="97" customWidth="1"/>
    <col min="5" max="5" width="6.140625" style="97" customWidth="1"/>
    <col min="6" max="6" width="6.5703125" style="97" customWidth="1"/>
    <col min="7" max="7" width="5.42578125" style="97" customWidth="1"/>
    <col min="8" max="8" width="1.7109375" style="97" customWidth="1"/>
    <col min="9" max="12" width="6.7109375" style="97" customWidth="1"/>
    <col min="13" max="13" width="1.7109375" style="97" customWidth="1"/>
    <col min="14" max="16" width="6.7109375" style="97" customWidth="1"/>
    <col min="17" max="17" width="1.7109375" style="97" customWidth="1"/>
    <col min="18" max="22" width="6.7109375" style="97" customWidth="1"/>
    <col min="23" max="23" width="1.7109375" style="97" customWidth="1"/>
    <col min="24" max="26" width="6.7109375" style="97" customWidth="1"/>
    <col min="27" max="27" width="1.7109375" style="97" customWidth="1"/>
    <col min="28" max="29" width="6.7109375" style="97" customWidth="1"/>
    <col min="30" max="30" width="1.7109375" style="97" customWidth="1"/>
    <col min="31" max="35" width="6.7109375" style="97" customWidth="1"/>
    <col min="36" max="36" width="1.7109375" style="97" customWidth="1"/>
    <col min="37" max="41" width="6.7109375" style="97" customWidth="1"/>
    <col min="42" max="205" width="7.140625" style="97" customWidth="1"/>
    <col min="206" max="16384" width="9.140625" style="97"/>
  </cols>
  <sheetData>
    <row r="1" spans="1:159" ht="23.25">
      <c r="A1" s="124" t="s">
        <v>451</v>
      </c>
      <c r="B1" s="125"/>
      <c r="C1" s="125"/>
      <c r="D1" s="140" t="s">
        <v>452</v>
      </c>
      <c r="E1" s="125"/>
      <c r="F1" s="125"/>
      <c r="G1" s="125"/>
      <c r="I1" s="108"/>
      <c r="J1" s="108"/>
      <c r="K1" s="108"/>
      <c r="L1" s="108"/>
      <c r="N1" s="113" t="s">
        <v>446</v>
      </c>
      <c r="O1" s="108"/>
      <c r="P1" s="108"/>
      <c r="R1" s="113" t="s">
        <v>448</v>
      </c>
      <c r="S1" s="108"/>
      <c r="T1" s="108"/>
      <c r="U1" s="108"/>
      <c r="V1" s="108"/>
      <c r="X1" s="114" t="s">
        <v>479</v>
      </c>
      <c r="Y1" s="108"/>
      <c r="Z1" s="108"/>
      <c r="AB1" s="114" t="s">
        <v>455</v>
      </c>
      <c r="AC1" s="108"/>
      <c r="AE1" s="113" t="s">
        <v>447</v>
      </c>
      <c r="AF1" s="108"/>
      <c r="AG1" s="108"/>
      <c r="AH1" s="108"/>
      <c r="AI1" s="108"/>
      <c r="AK1" s="113" t="s">
        <v>449</v>
      </c>
      <c r="AL1" s="108"/>
      <c r="AM1" s="108"/>
      <c r="AN1" s="108"/>
      <c r="AO1" s="108"/>
    </row>
    <row r="2" spans="1:159" ht="25.5">
      <c r="A2" s="107" t="s">
        <v>406</v>
      </c>
      <c r="B2" s="107" t="s">
        <v>407</v>
      </c>
      <c r="C2" s="107" t="s">
        <v>450</v>
      </c>
      <c r="D2" s="106" t="s">
        <v>456</v>
      </c>
      <c r="E2" s="107" t="s">
        <v>34</v>
      </c>
      <c r="F2" s="107" t="s">
        <v>409</v>
      </c>
      <c r="G2" s="107" t="s">
        <v>410</v>
      </c>
      <c r="H2" s="102"/>
      <c r="I2" s="109" t="s">
        <v>439</v>
      </c>
      <c r="J2" s="110" t="s">
        <v>411</v>
      </c>
      <c r="K2" s="110" t="s">
        <v>412</v>
      </c>
      <c r="L2" s="110" t="s">
        <v>413</v>
      </c>
      <c r="M2" s="102"/>
      <c r="N2" s="103" t="s">
        <v>440</v>
      </c>
      <c r="O2" s="104" t="s">
        <v>441</v>
      </c>
      <c r="P2" s="109" t="s">
        <v>442</v>
      </c>
      <c r="Q2" s="102"/>
      <c r="R2" s="103" t="s">
        <v>440</v>
      </c>
      <c r="S2" s="104" t="s">
        <v>441</v>
      </c>
      <c r="T2" s="109" t="s">
        <v>442</v>
      </c>
      <c r="U2" s="109" t="s">
        <v>443</v>
      </c>
      <c r="V2" s="109" t="s">
        <v>444</v>
      </c>
      <c r="W2" s="102"/>
      <c r="X2" s="103" t="s">
        <v>445</v>
      </c>
      <c r="Y2" s="105" t="s">
        <v>414</v>
      </c>
      <c r="Z2" s="109" t="s">
        <v>443</v>
      </c>
      <c r="AA2" s="102"/>
      <c r="AB2" s="110" t="s">
        <v>408</v>
      </c>
      <c r="AC2" s="110" t="s">
        <v>2</v>
      </c>
      <c r="AD2" s="102"/>
      <c r="AE2" s="103" t="s">
        <v>440</v>
      </c>
      <c r="AF2" s="104" t="s">
        <v>441</v>
      </c>
      <c r="AG2" s="109" t="s">
        <v>442</v>
      </c>
      <c r="AH2" s="109" t="s">
        <v>443</v>
      </c>
      <c r="AI2" s="109" t="s">
        <v>444</v>
      </c>
      <c r="AJ2" s="102"/>
      <c r="AK2" s="103" t="s">
        <v>440</v>
      </c>
      <c r="AL2" s="104" t="s">
        <v>441</v>
      </c>
      <c r="AM2" s="109" t="s">
        <v>442</v>
      </c>
      <c r="AN2" s="109" t="s">
        <v>443</v>
      </c>
      <c r="AO2" s="109" t="s">
        <v>444</v>
      </c>
    </row>
    <row r="3" spans="1:159">
      <c r="A3" s="122" t="s">
        <v>477</v>
      </c>
      <c r="B3" s="123"/>
      <c r="C3" s="123"/>
      <c r="D3" s="123"/>
      <c r="E3" s="123"/>
      <c r="F3" s="123"/>
      <c r="G3" s="123"/>
      <c r="H3" s="100"/>
      <c r="I3" s="111">
        <f>SUM(I7:I34)</f>
        <v>3</v>
      </c>
      <c r="J3" s="116">
        <f>MAX(J7:J34)</f>
        <v>9.6</v>
      </c>
      <c r="K3" s="116">
        <f t="shared" ref="K3:AC3" si="0">MAX(K7:K34)</f>
        <v>23.8</v>
      </c>
      <c r="L3" s="116">
        <f t="shared" si="0"/>
        <v>23.3</v>
      </c>
      <c r="M3" s="116"/>
      <c r="N3" s="116">
        <f t="shared" si="0"/>
        <v>109.4</v>
      </c>
      <c r="O3" s="116">
        <f t="shared" si="0"/>
        <v>55</v>
      </c>
      <c r="P3" s="116">
        <f t="shared" si="0"/>
        <v>71.400000000000006</v>
      </c>
      <c r="Q3" s="116"/>
      <c r="R3" s="116">
        <f t="shared" si="0"/>
        <v>60.2</v>
      </c>
      <c r="S3" s="116">
        <f t="shared" si="0"/>
        <v>54.4</v>
      </c>
      <c r="T3" s="116">
        <f t="shared" si="0"/>
        <v>14.7</v>
      </c>
      <c r="U3" s="116">
        <f t="shared" si="0"/>
        <v>149.6</v>
      </c>
      <c r="V3" s="116">
        <f t="shared" si="0"/>
        <v>54.9</v>
      </c>
      <c r="W3" s="116"/>
      <c r="X3" s="116">
        <f t="shared" si="0"/>
        <v>60.5</v>
      </c>
      <c r="Y3" s="116">
        <f t="shared" si="0"/>
        <v>53.3</v>
      </c>
      <c r="Z3" s="116">
        <f t="shared" si="0"/>
        <v>49.1</v>
      </c>
      <c r="AA3" s="116"/>
      <c r="AB3" s="116">
        <f t="shared" si="0"/>
        <v>705.2</v>
      </c>
      <c r="AC3" s="116">
        <f t="shared" si="0"/>
        <v>3.4</v>
      </c>
      <c r="AD3" s="100"/>
      <c r="AE3" s="116">
        <f>MAX(AE7:AE33)</f>
        <v>86.7</v>
      </c>
      <c r="AF3" s="116">
        <f>MAX(AF7:AF33)</f>
        <v>53.4</v>
      </c>
      <c r="AG3" s="116">
        <f>MAX(AG7:AG33)</f>
        <v>36.4</v>
      </c>
      <c r="AH3" s="116">
        <f>MAX(AH7:AH33)</f>
        <v>100</v>
      </c>
      <c r="AI3" s="116">
        <f>MAX(AI7:AI33)</f>
        <v>70.2</v>
      </c>
      <c r="AJ3" s="100"/>
      <c r="AK3" s="116"/>
      <c r="AL3" s="116"/>
      <c r="AM3" s="116"/>
      <c r="AN3" s="116"/>
      <c r="AO3" s="116"/>
      <c r="AP3" s="100"/>
      <c r="AQ3" s="100"/>
      <c r="AR3" s="100"/>
      <c r="AS3" s="100"/>
      <c r="AT3" s="100"/>
      <c r="AU3" s="100"/>
      <c r="AV3" s="100"/>
      <c r="AW3" s="100"/>
      <c r="AX3" s="100"/>
      <c r="AY3" s="100"/>
      <c r="AZ3" s="100"/>
      <c r="BA3" s="100"/>
      <c r="BB3" s="100"/>
      <c r="BC3" s="100"/>
      <c r="BD3" s="100"/>
      <c r="BE3" s="100"/>
      <c r="BF3" s="100"/>
      <c r="BG3" s="100"/>
      <c r="BH3" s="100"/>
      <c r="BI3" s="100"/>
      <c r="BJ3" s="100"/>
      <c r="BK3" s="100"/>
      <c r="BL3" s="100"/>
      <c r="BM3" s="100"/>
      <c r="BN3" s="100"/>
      <c r="BO3" s="100"/>
      <c r="BP3" s="100"/>
      <c r="BQ3" s="100"/>
      <c r="BR3" s="100"/>
      <c r="BS3" s="100"/>
      <c r="BT3" s="100"/>
      <c r="BU3" s="100"/>
      <c r="BV3" s="100"/>
      <c r="BW3" s="100"/>
      <c r="BX3" s="100"/>
      <c r="BY3" s="100"/>
      <c r="BZ3" s="100"/>
      <c r="CA3" s="100"/>
      <c r="CB3" s="100"/>
      <c r="CC3" s="100"/>
      <c r="CD3" s="100"/>
      <c r="CE3" s="100"/>
      <c r="CF3" s="100"/>
      <c r="CG3" s="100"/>
      <c r="CH3" s="100"/>
      <c r="CI3" s="100"/>
      <c r="CJ3" s="100"/>
      <c r="CK3" s="100"/>
      <c r="CL3" s="100"/>
      <c r="CM3" s="100"/>
      <c r="CN3" s="100"/>
      <c r="CO3" s="100"/>
      <c r="CP3" s="100"/>
      <c r="CQ3" s="100"/>
      <c r="CR3" s="100"/>
      <c r="CS3" s="100"/>
      <c r="CT3" s="100"/>
      <c r="CU3" s="100"/>
      <c r="CV3" s="100"/>
      <c r="CW3" s="100"/>
      <c r="CX3" s="100"/>
      <c r="CY3" s="100"/>
      <c r="CZ3" s="100"/>
      <c r="DA3" s="100"/>
      <c r="DB3" s="100"/>
      <c r="DC3" s="100"/>
      <c r="DD3" s="100"/>
      <c r="DE3" s="100"/>
      <c r="DF3" s="100"/>
      <c r="DG3" s="100"/>
      <c r="DH3" s="100"/>
      <c r="DI3" s="100"/>
      <c r="DJ3" s="100"/>
      <c r="DK3" s="100"/>
      <c r="DL3" s="100"/>
      <c r="DM3" s="100"/>
      <c r="DN3" s="100"/>
    </row>
    <row r="4" spans="1:159">
      <c r="A4" s="122" t="s">
        <v>476</v>
      </c>
      <c r="B4" s="123"/>
      <c r="C4" s="123"/>
      <c r="D4" s="123"/>
      <c r="E4" s="123"/>
      <c r="F4" s="123"/>
      <c r="G4" s="123"/>
      <c r="H4" s="100"/>
      <c r="I4" s="112"/>
      <c r="J4" s="116">
        <f>AVERAGE(J7:J34)</f>
        <v>-4.382142857142858</v>
      </c>
      <c r="K4" s="116">
        <f t="shared" ref="K4:AC4" si="1">AVERAGE(K7:K34)</f>
        <v>20.832142857142856</v>
      </c>
      <c r="L4" s="116">
        <f t="shared" si="1"/>
        <v>21.296428571428574</v>
      </c>
      <c r="M4" s="116"/>
      <c r="N4" s="116">
        <f t="shared" si="1"/>
        <v>92.857142857142847</v>
      </c>
      <c r="O4" s="116">
        <f t="shared" si="1"/>
        <v>43.267857142857146</v>
      </c>
      <c r="P4" s="116">
        <f t="shared" si="1"/>
        <v>49.589285714285715</v>
      </c>
      <c r="Q4" s="116"/>
      <c r="R4" s="116">
        <f t="shared" si="1"/>
        <v>52.95</v>
      </c>
      <c r="S4" s="116">
        <f t="shared" si="1"/>
        <v>44.292857142857152</v>
      </c>
      <c r="T4" s="116">
        <f t="shared" si="1"/>
        <v>8.6571428571428584</v>
      </c>
      <c r="U4" s="116">
        <f t="shared" si="1"/>
        <v>52.010714285714293</v>
      </c>
      <c r="V4" s="116">
        <f t="shared" si="1"/>
        <v>44.710714285714289</v>
      </c>
      <c r="W4" s="116"/>
      <c r="X4" s="116">
        <f t="shared" si="1"/>
        <v>54.907142857142858</v>
      </c>
      <c r="Y4" s="116">
        <f t="shared" si="1"/>
        <v>48.853571428571435</v>
      </c>
      <c r="Z4" s="116">
        <f t="shared" si="1"/>
        <v>12.399999999999995</v>
      </c>
      <c r="AA4" s="116"/>
      <c r="AB4" s="116">
        <f t="shared" si="1"/>
        <v>224.42499999999998</v>
      </c>
      <c r="AC4" s="116">
        <f t="shared" si="1"/>
        <v>0.91785714285714293</v>
      </c>
      <c r="AD4" s="100"/>
      <c r="AE4" s="116">
        <f>AVERAGE(AE7,AE8,AE9,AE10,AE15,AE22,AE24,AE26,AE27,AE29,AE33)</f>
        <v>56.679999999999993</v>
      </c>
      <c r="AF4" s="116">
        <f>AVERAGE(AF7,AF8,AF9,AF10,AF15,AF22,AF24,AF26,AF27,AF29,AF33)</f>
        <v>42.739999999999995</v>
      </c>
      <c r="AG4" s="116">
        <f>AVERAGE(AG7,AG8,AG9,AG10,AG15,AG22,AG24,AG26,AG27,AG29,AG33)</f>
        <v>13.940000000000001</v>
      </c>
      <c r="AH4" s="116">
        <f>AVERAGE(AH7,AH8,AH9,AH10,AH15,AH22,AH24,AH26,AH27,AH29,AH33)</f>
        <v>45.029999999999994</v>
      </c>
      <c r="AI4" s="116">
        <f>AVERAGE(AI7,AI8,AI9,AI10,AI15,AI22,AI24,AI26,AI27,AI29,AI33)</f>
        <v>40.589999999999996</v>
      </c>
      <c r="AJ4" s="100"/>
      <c r="AK4" s="116">
        <f>AVERAGE(AK10,AK24)</f>
        <v>50.25</v>
      </c>
      <c r="AL4" s="116">
        <f>AVERAGE(AL10,AL24)</f>
        <v>43.75</v>
      </c>
      <c r="AM4" s="116">
        <f>AVERAGE(AM10,AM24)</f>
        <v>6.5</v>
      </c>
      <c r="AN4" s="116">
        <f>AVERAGE(AN10,AN24)</f>
        <v>63.45</v>
      </c>
      <c r="AO4" s="116">
        <f>AVERAGE(AO10,AO24)</f>
        <v>42.1</v>
      </c>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0"/>
      <c r="BQ4" s="100"/>
      <c r="BR4" s="100"/>
      <c r="BS4" s="100"/>
      <c r="BT4" s="100"/>
      <c r="BU4" s="100"/>
      <c r="BV4" s="100"/>
      <c r="BW4" s="100"/>
      <c r="BX4" s="100"/>
      <c r="BY4" s="100"/>
      <c r="BZ4" s="100"/>
      <c r="CA4" s="100"/>
      <c r="CB4" s="100"/>
      <c r="CC4" s="100"/>
      <c r="CD4" s="100"/>
      <c r="CE4" s="100"/>
      <c r="CF4" s="100"/>
      <c r="CG4" s="100"/>
      <c r="CH4" s="100"/>
      <c r="CI4" s="100"/>
      <c r="CJ4" s="100"/>
      <c r="CK4" s="100"/>
      <c r="CL4" s="100"/>
      <c r="CM4" s="100"/>
      <c r="CN4" s="100"/>
      <c r="CO4" s="100"/>
      <c r="CP4" s="100"/>
      <c r="CQ4" s="100"/>
      <c r="CR4" s="100"/>
      <c r="CS4" s="100"/>
      <c r="CT4" s="100"/>
      <c r="CU4" s="100"/>
      <c r="CV4" s="100"/>
      <c r="CW4" s="100"/>
      <c r="CX4" s="100"/>
      <c r="CY4" s="100"/>
      <c r="CZ4" s="100"/>
      <c r="DA4" s="100"/>
      <c r="DB4" s="100"/>
      <c r="DC4" s="100"/>
      <c r="DD4" s="100"/>
      <c r="DE4" s="100"/>
      <c r="DF4" s="100"/>
      <c r="DG4" s="100"/>
      <c r="DH4" s="100"/>
      <c r="DI4" s="100"/>
      <c r="DJ4" s="100"/>
      <c r="DK4" s="100"/>
      <c r="DL4" s="100"/>
      <c r="DM4" s="100"/>
      <c r="DN4" s="100"/>
    </row>
    <row r="5" spans="1:159">
      <c r="A5" s="122" t="s">
        <v>478</v>
      </c>
      <c r="B5" s="123"/>
      <c r="C5" s="123"/>
      <c r="D5" s="123"/>
      <c r="E5" s="123"/>
      <c r="F5" s="123"/>
      <c r="G5" s="123"/>
      <c r="H5" s="100"/>
      <c r="I5" s="112"/>
      <c r="J5" s="116">
        <f>MIN(J7:J34)</f>
        <v>-7.5</v>
      </c>
      <c r="K5" s="116">
        <f t="shared" ref="K5:AC5" si="2">MIN(K7:K34)</f>
        <v>16</v>
      </c>
      <c r="L5" s="116">
        <f t="shared" si="2"/>
        <v>18.600000000000001</v>
      </c>
      <c r="M5" s="116"/>
      <c r="N5" s="116">
        <f t="shared" si="2"/>
        <v>66.099999999999994</v>
      </c>
      <c r="O5" s="116">
        <f t="shared" si="2"/>
        <v>30.1</v>
      </c>
      <c r="P5" s="116">
        <f t="shared" si="2"/>
        <v>30.2</v>
      </c>
      <c r="Q5" s="116"/>
      <c r="R5" s="116">
        <f t="shared" si="2"/>
        <v>39.700000000000003</v>
      </c>
      <c r="S5" s="116">
        <f t="shared" si="2"/>
        <v>33.5</v>
      </c>
      <c r="T5" s="116">
        <f t="shared" si="2"/>
        <v>4.0999999999999996</v>
      </c>
      <c r="U5" s="116">
        <f t="shared" si="2"/>
        <v>13.7</v>
      </c>
      <c r="V5" s="116">
        <f t="shared" si="2"/>
        <v>33.4</v>
      </c>
      <c r="W5" s="116"/>
      <c r="X5" s="116">
        <f t="shared" si="2"/>
        <v>49.1</v>
      </c>
      <c r="Y5" s="116">
        <f t="shared" si="2"/>
        <v>43.8</v>
      </c>
      <c r="Z5" s="116">
        <f t="shared" si="2"/>
        <v>0</v>
      </c>
      <c r="AA5" s="116"/>
      <c r="AB5" s="116">
        <f t="shared" si="2"/>
        <v>0</v>
      </c>
      <c r="AC5" s="116">
        <f t="shared" si="2"/>
        <v>0</v>
      </c>
      <c r="AD5" s="100"/>
      <c r="AE5" s="116">
        <f>MIN(AE7,AE8,AE9,AE10,AE15,AE22,AE24,AE26,AE27,AE29,AE33)</f>
        <v>46.7</v>
      </c>
      <c r="AF5" s="116">
        <f>MIN(AF7,AF8,AF9,AF10,AF15,AF22,AF24,AF26,AF27,AF29,AF33)</f>
        <v>32.5</v>
      </c>
      <c r="AG5" s="116">
        <f>MIN(AG7,AG8,AG9,AG10,AG15,AG22,AG24,AG26,AG27,AG29,AG33)</f>
        <v>-3.9</v>
      </c>
      <c r="AH5" s="116">
        <f>MIN(AH7,AH8,AH9,AH10,AH15,AH22,AH24,AH26,AH27,AH29,AH33)</f>
        <v>0</v>
      </c>
      <c r="AI5" s="116">
        <f>MIN(AI7,AI8,AI9,AI10,AI15,AI22,AI24,AI26,AI27,AI29,AI33)</f>
        <v>0</v>
      </c>
      <c r="AJ5" s="100"/>
      <c r="AK5" s="116"/>
      <c r="AL5" s="116"/>
      <c r="AM5" s="116"/>
      <c r="AN5" s="116"/>
      <c r="AO5" s="116"/>
      <c r="AP5" s="100"/>
      <c r="AQ5" s="100"/>
      <c r="AR5" s="100"/>
      <c r="AS5" s="100"/>
      <c r="AT5" s="100"/>
      <c r="AU5" s="100"/>
      <c r="AV5" s="100"/>
      <c r="AW5" s="100"/>
      <c r="AX5" s="100"/>
      <c r="AY5" s="100"/>
      <c r="AZ5" s="100"/>
      <c r="BA5" s="100"/>
      <c r="BB5" s="100"/>
      <c r="BC5" s="100"/>
      <c r="BD5" s="100"/>
      <c r="BE5" s="100"/>
      <c r="BF5" s="100"/>
      <c r="BG5" s="100"/>
      <c r="BH5" s="100"/>
      <c r="BI5" s="100"/>
      <c r="BJ5" s="100"/>
      <c r="BK5" s="100"/>
      <c r="BL5" s="100"/>
      <c r="BM5" s="100"/>
      <c r="BN5" s="100"/>
      <c r="BO5" s="100"/>
      <c r="BP5" s="100"/>
      <c r="BQ5" s="100"/>
      <c r="BR5" s="100"/>
      <c r="BS5" s="100"/>
      <c r="BT5" s="100"/>
      <c r="BU5" s="100"/>
      <c r="BV5" s="100"/>
      <c r="BW5" s="100"/>
      <c r="BX5" s="100"/>
      <c r="BY5" s="100"/>
      <c r="BZ5" s="100"/>
      <c r="CA5" s="100"/>
      <c r="CB5" s="100"/>
      <c r="CC5" s="100"/>
      <c r="CD5" s="100"/>
      <c r="CE5" s="100"/>
      <c r="CF5" s="100"/>
      <c r="CG5" s="100"/>
      <c r="CH5" s="100"/>
      <c r="CI5" s="100"/>
      <c r="CJ5" s="100"/>
      <c r="CK5" s="100"/>
      <c r="CL5" s="100"/>
      <c r="CM5" s="100"/>
      <c r="CN5" s="100"/>
      <c r="CO5" s="100"/>
      <c r="CP5" s="100"/>
      <c r="CQ5" s="100"/>
      <c r="CR5" s="100"/>
      <c r="CS5" s="100"/>
      <c r="CT5" s="100"/>
      <c r="CU5" s="100"/>
      <c r="CV5" s="100"/>
      <c r="CW5" s="100"/>
      <c r="CX5" s="100"/>
      <c r="CY5" s="100"/>
      <c r="CZ5" s="100"/>
      <c r="DA5" s="100"/>
      <c r="DB5" s="100"/>
      <c r="DC5" s="100"/>
      <c r="DD5" s="100"/>
      <c r="DE5" s="100"/>
      <c r="DF5" s="100"/>
      <c r="DG5" s="100"/>
      <c r="DH5" s="100"/>
      <c r="DI5" s="100"/>
      <c r="DJ5" s="100"/>
      <c r="DK5" s="100"/>
      <c r="DL5" s="100"/>
      <c r="DM5" s="100"/>
      <c r="DN5" s="100"/>
    </row>
    <row r="6" spans="1:159">
      <c r="A6" s="100"/>
      <c r="B6" s="100"/>
      <c r="C6" s="100"/>
      <c r="D6" s="100"/>
      <c r="E6" s="100"/>
      <c r="F6" s="100"/>
      <c r="G6" s="100"/>
      <c r="H6" s="100"/>
      <c r="I6" s="100"/>
      <c r="J6" s="117"/>
      <c r="K6" s="100"/>
      <c r="L6" s="100"/>
      <c r="M6" s="100"/>
      <c r="N6" s="115"/>
      <c r="O6" s="118"/>
      <c r="P6" s="119"/>
      <c r="Q6" s="100"/>
      <c r="R6" s="115"/>
      <c r="S6" s="118"/>
      <c r="T6" s="119"/>
      <c r="U6" s="100"/>
      <c r="V6" s="100"/>
      <c r="W6" s="100"/>
      <c r="X6" s="115"/>
      <c r="Y6" s="100"/>
      <c r="Z6" s="100"/>
      <c r="AA6" s="100"/>
      <c r="AB6" s="115"/>
      <c r="AC6" s="100"/>
      <c r="AD6" s="100"/>
      <c r="AE6" s="115"/>
      <c r="AF6" s="118"/>
      <c r="AG6" s="119"/>
      <c r="AH6" s="100"/>
      <c r="AI6" s="100"/>
      <c r="AJ6" s="100"/>
      <c r="AK6" s="115"/>
      <c r="AL6" s="118"/>
      <c r="AM6" s="119"/>
      <c r="AN6" s="100"/>
      <c r="AO6" s="100"/>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row>
    <row r="7" spans="1:159">
      <c r="A7" s="100" t="s">
        <v>631</v>
      </c>
      <c r="B7" s="100" t="s">
        <v>286</v>
      </c>
      <c r="C7" s="100" t="s">
        <v>632</v>
      </c>
      <c r="D7" s="100">
        <v>286</v>
      </c>
      <c r="E7" s="100">
        <v>2500</v>
      </c>
      <c r="F7" s="120">
        <v>40538</v>
      </c>
      <c r="G7" s="121">
        <v>0.59027777777777779</v>
      </c>
      <c r="H7" s="100" t="s">
        <v>415</v>
      </c>
      <c r="I7" s="100">
        <v>0</v>
      </c>
      <c r="J7" s="117">
        <v>-5.3</v>
      </c>
      <c r="K7" s="100">
        <v>16</v>
      </c>
      <c r="L7" s="100">
        <v>20.7</v>
      </c>
      <c r="M7" s="100" t="s">
        <v>415</v>
      </c>
      <c r="N7" s="115">
        <v>86.5</v>
      </c>
      <c r="O7" s="118">
        <v>41.7</v>
      </c>
      <c r="P7" s="119">
        <v>44.8</v>
      </c>
      <c r="Q7" s="100" t="s">
        <v>415</v>
      </c>
      <c r="R7" s="151">
        <v>43.6</v>
      </c>
      <c r="S7" s="118">
        <v>37.299999999999997</v>
      </c>
      <c r="T7" s="119">
        <v>6.3</v>
      </c>
      <c r="U7" s="100">
        <v>20.7</v>
      </c>
      <c r="V7" s="100">
        <v>37.1</v>
      </c>
      <c r="W7" s="100" t="s">
        <v>415</v>
      </c>
      <c r="X7" s="115">
        <v>59.7</v>
      </c>
      <c r="Y7" s="100">
        <v>48.6</v>
      </c>
      <c r="Z7" s="100">
        <v>0</v>
      </c>
      <c r="AA7" s="100" t="s">
        <v>415</v>
      </c>
      <c r="AB7" s="115">
        <v>39.4</v>
      </c>
      <c r="AC7" s="100">
        <v>0.2</v>
      </c>
      <c r="AD7" s="100" t="s">
        <v>415</v>
      </c>
      <c r="AE7" s="115">
        <v>46.7</v>
      </c>
      <c r="AF7" s="118">
        <v>45.7</v>
      </c>
      <c r="AG7" s="119">
        <v>1</v>
      </c>
      <c r="AH7" s="100">
        <v>4.4000000000000004</v>
      </c>
      <c r="AI7" s="100">
        <v>44.8</v>
      </c>
      <c r="AJ7" s="100" t="s">
        <v>415</v>
      </c>
      <c r="AK7" s="115" t="s">
        <v>416</v>
      </c>
      <c r="AL7" s="118" t="s">
        <v>416</v>
      </c>
      <c r="AM7" s="119" t="s">
        <v>416</v>
      </c>
      <c r="AN7" s="100" t="s">
        <v>416</v>
      </c>
      <c r="AO7" s="100" t="s">
        <v>416</v>
      </c>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row>
    <row r="8" spans="1:159">
      <c r="A8" s="100" t="s">
        <v>461</v>
      </c>
      <c r="B8" s="100" t="s">
        <v>286</v>
      </c>
      <c r="C8" s="100" t="s">
        <v>417</v>
      </c>
      <c r="D8" s="100">
        <v>1445</v>
      </c>
      <c r="E8" s="100">
        <v>13900</v>
      </c>
      <c r="F8" s="120">
        <v>40538</v>
      </c>
      <c r="G8" s="121">
        <v>0.59027777777777779</v>
      </c>
      <c r="H8" s="100" t="s">
        <v>415</v>
      </c>
      <c r="I8" s="100">
        <v>0</v>
      </c>
      <c r="J8" s="117">
        <v>-3.3</v>
      </c>
      <c r="K8" s="100">
        <v>22.8</v>
      </c>
      <c r="L8" s="100">
        <v>22.7</v>
      </c>
      <c r="M8" s="100" t="s">
        <v>415</v>
      </c>
      <c r="N8" s="115">
        <v>93.7</v>
      </c>
      <c r="O8" s="118">
        <v>46.2</v>
      </c>
      <c r="P8" s="119">
        <v>47.5</v>
      </c>
      <c r="Q8" s="100" t="s">
        <v>415</v>
      </c>
      <c r="R8" s="151">
        <v>53.1</v>
      </c>
      <c r="S8" s="118">
        <v>46</v>
      </c>
      <c r="T8" s="119">
        <v>7.1</v>
      </c>
      <c r="U8" s="100">
        <v>77.400000000000006</v>
      </c>
      <c r="V8" s="100">
        <v>45.9</v>
      </c>
      <c r="W8" s="100" t="s">
        <v>415</v>
      </c>
      <c r="X8" s="115">
        <v>53.8</v>
      </c>
      <c r="Y8" s="100">
        <v>45.5</v>
      </c>
      <c r="Z8" s="100">
        <v>9.5</v>
      </c>
      <c r="AA8" s="100" t="s">
        <v>415</v>
      </c>
      <c r="AB8" s="115">
        <v>455.5</v>
      </c>
      <c r="AC8" s="100">
        <v>2.2999999999999998</v>
      </c>
      <c r="AD8" s="100" t="s">
        <v>415</v>
      </c>
      <c r="AE8" s="115">
        <v>58.7</v>
      </c>
      <c r="AF8" s="118">
        <v>42.7</v>
      </c>
      <c r="AG8" s="119">
        <v>16</v>
      </c>
      <c r="AH8" s="100">
        <v>75.3</v>
      </c>
      <c r="AI8" s="100">
        <v>44.5</v>
      </c>
      <c r="AJ8" s="100" t="s">
        <v>415</v>
      </c>
      <c r="AK8" s="115" t="s">
        <v>416</v>
      </c>
      <c r="AL8" s="118" t="s">
        <v>416</v>
      </c>
      <c r="AM8" s="119" t="s">
        <v>416</v>
      </c>
      <c r="AN8" s="100" t="s">
        <v>416</v>
      </c>
      <c r="AO8" s="100" t="s">
        <v>416</v>
      </c>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row>
    <row r="9" spans="1:159">
      <c r="A9" s="100" t="s">
        <v>462</v>
      </c>
      <c r="B9" s="100" t="s">
        <v>286</v>
      </c>
      <c r="C9" s="100" t="s">
        <v>418</v>
      </c>
      <c r="D9" s="100">
        <v>463</v>
      </c>
      <c r="E9" s="100">
        <v>4000</v>
      </c>
      <c r="F9" s="120">
        <v>40538</v>
      </c>
      <c r="G9" s="121">
        <v>0.59722222222222221</v>
      </c>
      <c r="H9" s="100" t="s">
        <v>415</v>
      </c>
      <c r="I9" s="100">
        <v>0</v>
      </c>
      <c r="J9" s="117">
        <v>-6.2</v>
      </c>
      <c r="K9" s="100">
        <v>20.100000000000001</v>
      </c>
      <c r="L9" s="100">
        <v>18.600000000000001</v>
      </c>
      <c r="M9" s="100" t="s">
        <v>415</v>
      </c>
      <c r="N9" s="115">
        <v>91.1</v>
      </c>
      <c r="O9" s="118">
        <v>53.9</v>
      </c>
      <c r="P9" s="119">
        <v>37.200000000000003</v>
      </c>
      <c r="Q9" s="100" t="s">
        <v>415</v>
      </c>
      <c r="R9" s="151">
        <v>56.1</v>
      </c>
      <c r="S9" s="118">
        <v>48.1</v>
      </c>
      <c r="T9" s="119">
        <v>8</v>
      </c>
      <c r="U9" s="100">
        <v>39.4</v>
      </c>
      <c r="V9" s="100">
        <v>46.6</v>
      </c>
      <c r="W9" s="100" t="s">
        <v>415</v>
      </c>
      <c r="X9" s="115">
        <v>54.3</v>
      </c>
      <c r="Y9" s="100">
        <v>53</v>
      </c>
      <c r="Z9" s="100">
        <v>0</v>
      </c>
      <c r="AA9" s="100" t="s">
        <v>415</v>
      </c>
      <c r="AB9" s="115">
        <v>130</v>
      </c>
      <c r="AC9" s="100">
        <v>0.8</v>
      </c>
      <c r="AD9" s="100"/>
      <c r="AE9" s="115"/>
      <c r="AF9" s="118"/>
      <c r="AG9" s="119"/>
      <c r="AH9" s="100"/>
      <c r="AI9" s="100"/>
      <c r="AJ9" s="100"/>
      <c r="AK9" s="115"/>
      <c r="AL9" s="118"/>
      <c r="AM9" s="119"/>
      <c r="AN9" s="100"/>
      <c r="AO9" s="100"/>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row>
    <row r="10" spans="1:159">
      <c r="A10" s="100" t="s">
        <v>463</v>
      </c>
      <c r="B10" s="100" t="s">
        <v>286</v>
      </c>
      <c r="C10" s="100" t="s">
        <v>419</v>
      </c>
      <c r="D10" s="100">
        <v>0</v>
      </c>
      <c r="E10" s="100">
        <v>2500</v>
      </c>
      <c r="F10" s="120">
        <v>40538</v>
      </c>
      <c r="G10" s="121">
        <v>0.59027777777777779</v>
      </c>
      <c r="H10" s="100" t="s">
        <v>415</v>
      </c>
      <c r="I10" s="100">
        <v>0</v>
      </c>
      <c r="J10" s="117">
        <v>-4.7</v>
      </c>
      <c r="K10" s="100">
        <v>19.3</v>
      </c>
      <c r="L10" s="100">
        <v>20.399999999999999</v>
      </c>
      <c r="M10" s="100" t="s">
        <v>415</v>
      </c>
      <c r="N10" s="115">
        <v>87.8</v>
      </c>
      <c r="O10" s="118">
        <v>30.1</v>
      </c>
      <c r="P10" s="119">
        <v>57.7</v>
      </c>
      <c r="Q10" s="100" t="s">
        <v>415</v>
      </c>
      <c r="R10" s="151">
        <v>54.3</v>
      </c>
      <c r="S10" s="118">
        <v>48.3</v>
      </c>
      <c r="T10" s="119">
        <v>6</v>
      </c>
      <c r="U10" s="100">
        <v>33.700000000000003</v>
      </c>
      <c r="V10" s="100">
        <v>49.2</v>
      </c>
      <c r="W10" s="100" t="s">
        <v>415</v>
      </c>
      <c r="X10" s="115">
        <v>60.5</v>
      </c>
      <c r="Y10" s="100">
        <v>53</v>
      </c>
      <c r="Z10" s="100">
        <v>0</v>
      </c>
      <c r="AA10" s="100" t="s">
        <v>415</v>
      </c>
      <c r="AB10" s="115">
        <v>73.599999999999994</v>
      </c>
      <c r="AC10" s="100">
        <v>0.5</v>
      </c>
      <c r="AD10" s="100" t="s">
        <v>415</v>
      </c>
      <c r="AE10" s="115">
        <v>53.5</v>
      </c>
      <c r="AF10" s="118">
        <v>46.7</v>
      </c>
      <c r="AG10" s="119">
        <v>6.8</v>
      </c>
      <c r="AH10" s="100">
        <v>100</v>
      </c>
      <c r="AI10" s="100">
        <v>0</v>
      </c>
      <c r="AJ10" s="100" t="s">
        <v>415</v>
      </c>
      <c r="AK10" s="115">
        <v>52.3</v>
      </c>
      <c r="AL10" s="118">
        <v>46.9</v>
      </c>
      <c r="AM10" s="119">
        <v>5.4</v>
      </c>
      <c r="AN10" s="100">
        <v>100</v>
      </c>
      <c r="AO10" s="100" t="s">
        <v>416</v>
      </c>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row>
    <row r="11" spans="1:159">
      <c r="A11" s="100" t="s">
        <v>525</v>
      </c>
      <c r="B11" s="100" t="s">
        <v>286</v>
      </c>
      <c r="C11" s="100" t="s">
        <v>526</v>
      </c>
      <c r="D11" s="100">
        <v>0</v>
      </c>
      <c r="E11" s="100">
        <v>0</v>
      </c>
      <c r="F11" s="120">
        <v>40483</v>
      </c>
      <c r="G11" s="121">
        <v>0.4861111111111111</v>
      </c>
      <c r="H11" s="100" t="s">
        <v>415</v>
      </c>
      <c r="I11" s="100">
        <v>0</v>
      </c>
      <c r="J11" s="117">
        <v>9.6</v>
      </c>
      <c r="K11" s="100">
        <v>23.4</v>
      </c>
      <c r="L11" s="100">
        <v>21.9</v>
      </c>
      <c r="M11" s="100" t="s">
        <v>415</v>
      </c>
      <c r="N11" s="115">
        <v>66.099999999999994</v>
      </c>
      <c r="O11" s="118">
        <v>35.9</v>
      </c>
      <c r="P11" s="119">
        <v>30.2</v>
      </c>
      <c r="Q11" s="100" t="s">
        <v>415</v>
      </c>
      <c r="R11" s="151">
        <v>39.700000000000003</v>
      </c>
      <c r="S11" s="118">
        <v>33.5</v>
      </c>
      <c r="T11" s="119">
        <v>6.2</v>
      </c>
      <c r="U11" s="100">
        <v>13.7</v>
      </c>
      <c r="V11" s="100">
        <v>33.4</v>
      </c>
      <c r="W11" s="100" t="s">
        <v>415</v>
      </c>
      <c r="X11" s="115">
        <v>55.4</v>
      </c>
      <c r="Y11" s="100">
        <v>50.6</v>
      </c>
      <c r="Z11" s="100">
        <v>14.6</v>
      </c>
      <c r="AA11" s="100" t="s">
        <v>415</v>
      </c>
      <c r="AB11" s="115">
        <v>3.4</v>
      </c>
      <c r="AC11" s="100">
        <v>1.8</v>
      </c>
      <c r="AD11" s="100" t="s">
        <v>415</v>
      </c>
      <c r="AE11" s="115">
        <v>0</v>
      </c>
      <c r="AF11" s="118">
        <v>0</v>
      </c>
      <c r="AG11" s="119">
        <v>0</v>
      </c>
      <c r="AH11" s="100">
        <v>0</v>
      </c>
      <c r="AI11" s="100">
        <v>0</v>
      </c>
      <c r="AJ11" s="100" t="s">
        <v>415</v>
      </c>
      <c r="AK11" s="115" t="s">
        <v>416</v>
      </c>
      <c r="AL11" s="118" t="s">
        <v>416</v>
      </c>
      <c r="AM11" s="119" t="s">
        <v>416</v>
      </c>
      <c r="AN11" s="100" t="s">
        <v>416</v>
      </c>
      <c r="AO11" s="100" t="s">
        <v>416</v>
      </c>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row>
    <row r="12" spans="1:159">
      <c r="A12" s="100" t="s">
        <v>464</v>
      </c>
      <c r="B12" s="100" t="s">
        <v>420</v>
      </c>
      <c r="C12" s="100" t="s">
        <v>29</v>
      </c>
      <c r="D12" s="100">
        <v>526</v>
      </c>
      <c r="E12" s="100">
        <v>4200</v>
      </c>
      <c r="F12" s="120">
        <v>40538</v>
      </c>
      <c r="G12" s="121">
        <v>0.59722222222222221</v>
      </c>
      <c r="H12" s="100" t="s">
        <v>415</v>
      </c>
      <c r="I12" s="100">
        <v>0</v>
      </c>
      <c r="J12" s="117">
        <v>-5</v>
      </c>
      <c r="K12" s="100">
        <v>22.6</v>
      </c>
      <c r="L12" s="100">
        <v>21.9</v>
      </c>
      <c r="M12" s="100" t="s">
        <v>415</v>
      </c>
      <c r="N12" s="115">
        <v>87.6</v>
      </c>
      <c r="O12" s="118">
        <v>38.200000000000003</v>
      </c>
      <c r="P12" s="119">
        <v>49.4</v>
      </c>
      <c r="Q12" s="100" t="s">
        <v>415</v>
      </c>
      <c r="R12" s="151">
        <v>45.4</v>
      </c>
      <c r="S12" s="118">
        <v>38.799999999999997</v>
      </c>
      <c r="T12" s="119">
        <v>6.6</v>
      </c>
      <c r="U12" s="100">
        <v>23.6</v>
      </c>
      <c r="V12" s="100">
        <v>39</v>
      </c>
      <c r="W12" s="100" t="s">
        <v>415</v>
      </c>
      <c r="X12" s="115">
        <v>56.8</v>
      </c>
      <c r="Y12" s="100">
        <v>50.5</v>
      </c>
      <c r="Z12" s="100">
        <v>9.8000000000000007</v>
      </c>
      <c r="AA12" s="100" t="s">
        <v>415</v>
      </c>
      <c r="AB12" s="115">
        <v>104.4</v>
      </c>
      <c r="AC12" s="100">
        <v>0.4</v>
      </c>
      <c r="AD12" s="100" t="s">
        <v>415</v>
      </c>
      <c r="AE12" s="115">
        <v>0</v>
      </c>
      <c r="AF12" s="118">
        <v>0</v>
      </c>
      <c r="AG12" s="119">
        <v>0</v>
      </c>
      <c r="AH12" s="100">
        <v>0</v>
      </c>
      <c r="AI12" s="100">
        <v>0</v>
      </c>
      <c r="AJ12" s="100" t="s">
        <v>415</v>
      </c>
      <c r="AK12" s="115" t="s">
        <v>416</v>
      </c>
      <c r="AL12" s="118" t="s">
        <v>416</v>
      </c>
      <c r="AM12" s="119" t="s">
        <v>416</v>
      </c>
      <c r="AN12" s="100" t="s">
        <v>416</v>
      </c>
      <c r="AO12" s="100" t="s">
        <v>416</v>
      </c>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row>
    <row r="13" spans="1:159">
      <c r="A13" s="100" t="s">
        <v>465</v>
      </c>
      <c r="B13" s="100" t="s">
        <v>286</v>
      </c>
      <c r="C13" s="100" t="s">
        <v>0</v>
      </c>
      <c r="D13" s="100">
        <v>657</v>
      </c>
      <c r="E13" s="100">
        <v>6200</v>
      </c>
      <c r="F13" s="120">
        <v>40538</v>
      </c>
      <c r="G13" s="121">
        <v>0.59027777777777779</v>
      </c>
      <c r="H13" s="100" t="s">
        <v>415</v>
      </c>
      <c r="I13" s="100">
        <v>0</v>
      </c>
      <c r="J13" s="117">
        <v>-5</v>
      </c>
      <c r="K13" s="100">
        <v>19.399999999999999</v>
      </c>
      <c r="L13" s="100">
        <v>21.4</v>
      </c>
      <c r="M13" s="100" t="s">
        <v>415</v>
      </c>
      <c r="N13" s="115">
        <v>87.7</v>
      </c>
      <c r="O13" s="118">
        <v>42.7</v>
      </c>
      <c r="P13" s="119">
        <v>45</v>
      </c>
      <c r="Q13" s="100" t="s">
        <v>415</v>
      </c>
      <c r="R13" s="151">
        <v>55.2</v>
      </c>
      <c r="S13" s="118">
        <v>45.6</v>
      </c>
      <c r="T13" s="119">
        <v>9.6</v>
      </c>
      <c r="U13" s="100">
        <v>60.6</v>
      </c>
      <c r="V13" s="100">
        <v>46.9</v>
      </c>
      <c r="W13" s="100" t="s">
        <v>415</v>
      </c>
      <c r="X13" s="115">
        <v>54.5</v>
      </c>
      <c r="Y13" s="100">
        <v>45.4</v>
      </c>
      <c r="Z13" s="100">
        <v>3.2</v>
      </c>
      <c r="AA13" s="100" t="s">
        <v>415</v>
      </c>
      <c r="AB13" s="115">
        <v>483.5</v>
      </c>
      <c r="AC13" s="100">
        <v>0.7</v>
      </c>
      <c r="AD13" s="100" t="s">
        <v>415</v>
      </c>
      <c r="AE13" s="115">
        <v>0</v>
      </c>
      <c r="AF13" s="118">
        <v>0</v>
      </c>
      <c r="AG13" s="119">
        <v>0</v>
      </c>
      <c r="AH13" s="100">
        <v>0</v>
      </c>
      <c r="AI13" s="100">
        <v>0</v>
      </c>
      <c r="AJ13" s="100" t="s">
        <v>415</v>
      </c>
      <c r="AK13" s="115" t="s">
        <v>416</v>
      </c>
      <c r="AL13" s="118" t="s">
        <v>416</v>
      </c>
      <c r="AM13" s="119" t="s">
        <v>416</v>
      </c>
      <c r="AN13" s="100" t="s">
        <v>416</v>
      </c>
      <c r="AO13" s="100" t="s">
        <v>416</v>
      </c>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row>
    <row r="14" spans="1:159">
      <c r="A14" s="100" t="s">
        <v>466</v>
      </c>
      <c r="B14" s="100" t="s">
        <v>286</v>
      </c>
      <c r="C14" s="100" t="s">
        <v>421</v>
      </c>
      <c r="D14" s="100">
        <v>262</v>
      </c>
      <c r="E14" s="100">
        <v>2000</v>
      </c>
      <c r="F14" s="120">
        <v>40538</v>
      </c>
      <c r="G14" s="121">
        <v>0.59722222222222221</v>
      </c>
      <c r="H14" s="100" t="s">
        <v>415</v>
      </c>
      <c r="I14" s="100">
        <v>0</v>
      </c>
      <c r="J14" s="117">
        <v>-4.8</v>
      </c>
      <c r="K14" s="100">
        <v>19.899999999999999</v>
      </c>
      <c r="L14" s="100">
        <v>20.3</v>
      </c>
      <c r="M14" s="100" t="s">
        <v>415</v>
      </c>
      <c r="N14" s="115">
        <v>88.8</v>
      </c>
      <c r="O14" s="118">
        <v>46</v>
      </c>
      <c r="P14" s="119">
        <v>42.8</v>
      </c>
      <c r="Q14" s="100" t="s">
        <v>415</v>
      </c>
      <c r="R14" s="151">
        <v>56.5</v>
      </c>
      <c r="S14" s="118">
        <v>46.4</v>
      </c>
      <c r="T14" s="119">
        <v>10.1</v>
      </c>
      <c r="U14" s="100">
        <v>29</v>
      </c>
      <c r="V14" s="100">
        <v>46.9</v>
      </c>
      <c r="W14" s="100" t="s">
        <v>415</v>
      </c>
      <c r="X14" s="115">
        <v>49.1</v>
      </c>
      <c r="Y14" s="100">
        <v>44.3</v>
      </c>
      <c r="Z14" s="100">
        <v>6.8</v>
      </c>
      <c r="AA14" s="100" t="s">
        <v>415</v>
      </c>
      <c r="AB14" s="115">
        <v>622.79999999999995</v>
      </c>
      <c r="AC14" s="100">
        <v>1.7</v>
      </c>
      <c r="AD14" s="100" t="s">
        <v>415</v>
      </c>
      <c r="AE14" s="115">
        <v>0</v>
      </c>
      <c r="AF14" s="118">
        <v>0</v>
      </c>
      <c r="AG14" s="119">
        <v>0</v>
      </c>
      <c r="AH14" s="100">
        <v>0</v>
      </c>
      <c r="AI14" s="100">
        <v>0</v>
      </c>
      <c r="AJ14" s="100" t="s">
        <v>415</v>
      </c>
      <c r="AK14" s="115" t="s">
        <v>416</v>
      </c>
      <c r="AL14" s="118" t="s">
        <v>416</v>
      </c>
      <c r="AM14" s="119" t="s">
        <v>416</v>
      </c>
      <c r="AN14" s="100" t="s">
        <v>416</v>
      </c>
      <c r="AO14" s="100" t="s">
        <v>416</v>
      </c>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row>
    <row r="15" spans="1:159">
      <c r="A15" s="100" t="s">
        <v>467</v>
      </c>
      <c r="B15" s="100" t="s">
        <v>286</v>
      </c>
      <c r="C15" s="100" t="s">
        <v>65</v>
      </c>
      <c r="D15" s="100">
        <v>1310</v>
      </c>
      <c r="E15" s="100">
        <v>13300</v>
      </c>
      <c r="F15" s="120">
        <v>40538</v>
      </c>
      <c r="G15" s="121">
        <v>0.59027777777777779</v>
      </c>
      <c r="H15" s="100" t="s">
        <v>415</v>
      </c>
      <c r="I15" s="100">
        <v>2</v>
      </c>
      <c r="J15" s="117">
        <v>-4.8</v>
      </c>
      <c r="K15" s="100">
        <v>21.8</v>
      </c>
      <c r="L15" s="100">
        <v>23.2</v>
      </c>
      <c r="M15" s="100" t="s">
        <v>415</v>
      </c>
      <c r="N15" s="115">
        <v>89.4</v>
      </c>
      <c r="O15" s="118">
        <v>46.4</v>
      </c>
      <c r="P15" s="119">
        <v>43</v>
      </c>
      <c r="Q15" s="100" t="s">
        <v>415</v>
      </c>
      <c r="R15" s="151">
        <v>47.2</v>
      </c>
      <c r="S15" s="118">
        <v>41.3</v>
      </c>
      <c r="T15" s="119">
        <v>5.9</v>
      </c>
      <c r="U15" s="100">
        <v>61.2</v>
      </c>
      <c r="V15" s="100">
        <v>41</v>
      </c>
      <c r="W15" s="100" t="s">
        <v>415</v>
      </c>
      <c r="X15" s="115">
        <v>55.1</v>
      </c>
      <c r="Y15" s="100">
        <v>46.1</v>
      </c>
      <c r="Z15" s="100">
        <v>19.2</v>
      </c>
      <c r="AA15" s="100" t="s">
        <v>415</v>
      </c>
      <c r="AB15" s="115">
        <v>318.3</v>
      </c>
      <c r="AC15" s="100">
        <v>1.8</v>
      </c>
      <c r="AD15" s="100" t="s">
        <v>415</v>
      </c>
      <c r="AE15" s="115">
        <v>86.7</v>
      </c>
      <c r="AF15" s="118">
        <v>50.3</v>
      </c>
      <c r="AG15" s="119">
        <v>36.4</v>
      </c>
      <c r="AH15" s="100">
        <v>0</v>
      </c>
      <c r="AI15" s="100">
        <v>70.2</v>
      </c>
      <c r="AJ15" s="100" t="s">
        <v>415</v>
      </c>
      <c r="AK15" s="115" t="s">
        <v>416</v>
      </c>
      <c r="AL15" s="118" t="s">
        <v>416</v>
      </c>
      <c r="AM15" s="119" t="s">
        <v>416</v>
      </c>
      <c r="AN15" s="100" t="s">
        <v>416</v>
      </c>
      <c r="AO15" s="100" t="s">
        <v>416</v>
      </c>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row>
    <row r="16" spans="1:159">
      <c r="A16" s="100" t="s">
        <v>422</v>
      </c>
      <c r="B16" s="100" t="s">
        <v>286</v>
      </c>
      <c r="C16" s="100" t="s">
        <v>67</v>
      </c>
      <c r="D16" s="100">
        <v>392</v>
      </c>
      <c r="E16" s="100">
        <v>3500</v>
      </c>
      <c r="F16" s="120">
        <v>40538</v>
      </c>
      <c r="G16" s="121">
        <v>0.59722222222222221</v>
      </c>
      <c r="H16" s="100" t="s">
        <v>415</v>
      </c>
      <c r="I16" s="100">
        <v>0</v>
      </c>
      <c r="J16" s="117">
        <v>-3.3</v>
      </c>
      <c r="K16" s="100">
        <v>23.8</v>
      </c>
      <c r="L16" s="100">
        <v>21.6</v>
      </c>
      <c r="M16" s="100" t="s">
        <v>415</v>
      </c>
      <c r="N16" s="115">
        <v>90.8</v>
      </c>
      <c r="O16" s="118">
        <v>44.1</v>
      </c>
      <c r="P16" s="119">
        <v>46.7</v>
      </c>
      <c r="Q16" s="100" t="s">
        <v>415</v>
      </c>
      <c r="R16" s="151">
        <v>51</v>
      </c>
      <c r="S16" s="118">
        <v>45.6</v>
      </c>
      <c r="T16" s="119">
        <v>5.4</v>
      </c>
      <c r="U16" s="100">
        <v>40.299999999999997</v>
      </c>
      <c r="V16" s="100">
        <v>46</v>
      </c>
      <c r="W16" s="100" t="s">
        <v>415</v>
      </c>
      <c r="X16" s="115">
        <v>51.1</v>
      </c>
      <c r="Y16" s="100">
        <v>43.8</v>
      </c>
      <c r="Z16" s="100">
        <v>9</v>
      </c>
      <c r="AA16" s="100" t="s">
        <v>415</v>
      </c>
      <c r="AB16" s="115">
        <v>121.8</v>
      </c>
      <c r="AC16" s="100">
        <v>0.6</v>
      </c>
      <c r="AD16" s="100" t="s">
        <v>415</v>
      </c>
      <c r="AE16" s="115">
        <v>0</v>
      </c>
      <c r="AF16" s="118">
        <v>0</v>
      </c>
      <c r="AG16" s="119">
        <v>0</v>
      </c>
      <c r="AH16" s="100">
        <v>0</v>
      </c>
      <c r="AI16" s="100">
        <v>0</v>
      </c>
      <c r="AJ16" s="100" t="s">
        <v>415</v>
      </c>
      <c r="AK16" s="115" t="s">
        <v>416</v>
      </c>
      <c r="AL16" s="118" t="s">
        <v>416</v>
      </c>
      <c r="AM16" s="119" t="s">
        <v>416</v>
      </c>
      <c r="AN16" s="100" t="s">
        <v>416</v>
      </c>
      <c r="AO16" s="100" t="s">
        <v>416</v>
      </c>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row>
    <row r="17" spans="1:159">
      <c r="A17" s="100" t="s">
        <v>423</v>
      </c>
      <c r="B17" s="100" t="s">
        <v>453</v>
      </c>
      <c r="C17" s="100" t="s">
        <v>162</v>
      </c>
      <c r="D17" s="100">
        <v>0</v>
      </c>
      <c r="E17" s="100">
        <v>0</v>
      </c>
      <c r="F17" s="120">
        <v>40538</v>
      </c>
      <c r="G17" s="121">
        <v>0.59027777777777779</v>
      </c>
      <c r="H17" s="100" t="s">
        <v>415</v>
      </c>
      <c r="I17" s="100">
        <v>0</v>
      </c>
      <c r="J17" s="117">
        <v>-5.6</v>
      </c>
      <c r="K17" s="100">
        <v>22.6</v>
      </c>
      <c r="L17" s="100">
        <v>22.3</v>
      </c>
      <c r="M17" s="100" t="s">
        <v>415</v>
      </c>
      <c r="N17" s="115">
        <v>100.1</v>
      </c>
      <c r="O17" s="118">
        <v>55</v>
      </c>
      <c r="P17" s="119">
        <v>45.1</v>
      </c>
      <c r="Q17" s="100" t="s">
        <v>415</v>
      </c>
      <c r="R17" s="151">
        <v>52.7</v>
      </c>
      <c r="S17" s="118">
        <v>44.8</v>
      </c>
      <c r="T17" s="119">
        <v>7.9</v>
      </c>
      <c r="U17" s="100">
        <v>125.3</v>
      </c>
      <c r="V17" s="100">
        <v>45.4</v>
      </c>
      <c r="W17" s="100" t="s">
        <v>415</v>
      </c>
      <c r="X17" s="115">
        <v>57.2</v>
      </c>
      <c r="Y17" s="100">
        <v>49.8</v>
      </c>
      <c r="Z17" s="100">
        <v>32</v>
      </c>
      <c r="AA17" s="100" t="s">
        <v>415</v>
      </c>
      <c r="AB17" s="115">
        <v>373.6</v>
      </c>
      <c r="AC17" s="100">
        <v>0</v>
      </c>
      <c r="AD17" s="100" t="s">
        <v>415</v>
      </c>
      <c r="AE17" s="115">
        <v>0</v>
      </c>
      <c r="AF17" s="118">
        <v>0</v>
      </c>
      <c r="AG17" s="119">
        <v>0</v>
      </c>
      <c r="AH17" s="100">
        <v>0</v>
      </c>
      <c r="AI17" s="100">
        <v>0</v>
      </c>
      <c r="AJ17" s="100" t="s">
        <v>415</v>
      </c>
      <c r="AK17" s="115" t="s">
        <v>416</v>
      </c>
      <c r="AL17" s="118" t="s">
        <v>416</v>
      </c>
      <c r="AM17" s="119" t="s">
        <v>416</v>
      </c>
      <c r="AN17" s="100" t="s">
        <v>416</v>
      </c>
      <c r="AO17" s="100" t="s">
        <v>416</v>
      </c>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row>
    <row r="18" spans="1:159">
      <c r="A18" s="100" t="s">
        <v>424</v>
      </c>
      <c r="B18" s="100" t="s">
        <v>453</v>
      </c>
      <c r="C18" s="100" t="s">
        <v>163</v>
      </c>
      <c r="D18" s="100">
        <v>0</v>
      </c>
      <c r="E18" s="100">
        <v>0</v>
      </c>
      <c r="F18" s="120">
        <v>40538</v>
      </c>
      <c r="G18" s="121">
        <v>0.59027777777777779</v>
      </c>
      <c r="H18" s="100" t="s">
        <v>415</v>
      </c>
      <c r="I18" s="100">
        <v>0</v>
      </c>
      <c r="J18" s="117">
        <v>-5.7</v>
      </c>
      <c r="K18" s="100">
        <v>23.3</v>
      </c>
      <c r="L18" s="100">
        <v>22.7</v>
      </c>
      <c r="M18" s="100" t="s">
        <v>415</v>
      </c>
      <c r="N18" s="115">
        <v>101.2</v>
      </c>
      <c r="O18" s="118">
        <v>38.700000000000003</v>
      </c>
      <c r="P18" s="119">
        <v>62.5</v>
      </c>
      <c r="Q18" s="100" t="s">
        <v>415</v>
      </c>
      <c r="R18" s="151">
        <v>52.1</v>
      </c>
      <c r="S18" s="118">
        <v>42.9</v>
      </c>
      <c r="T18" s="119">
        <v>9.1999999999999993</v>
      </c>
      <c r="U18" s="100">
        <v>125.6</v>
      </c>
      <c r="V18" s="100">
        <v>44.2</v>
      </c>
      <c r="W18" s="100" t="s">
        <v>415</v>
      </c>
      <c r="X18" s="115">
        <v>54.1</v>
      </c>
      <c r="Y18" s="100">
        <v>50.6</v>
      </c>
      <c r="Z18" s="100">
        <v>39.9</v>
      </c>
      <c r="AA18" s="100" t="s">
        <v>415</v>
      </c>
      <c r="AB18" s="115">
        <v>361.6</v>
      </c>
      <c r="AC18" s="100">
        <v>0</v>
      </c>
      <c r="AD18" s="100" t="s">
        <v>415</v>
      </c>
      <c r="AE18" s="115">
        <v>0</v>
      </c>
      <c r="AF18" s="118">
        <v>0</v>
      </c>
      <c r="AG18" s="119">
        <v>0</v>
      </c>
      <c r="AH18" s="100">
        <v>0</v>
      </c>
      <c r="AI18" s="100">
        <v>0</v>
      </c>
      <c r="AJ18" s="100" t="s">
        <v>415</v>
      </c>
      <c r="AK18" s="115" t="s">
        <v>416</v>
      </c>
      <c r="AL18" s="118" t="s">
        <v>416</v>
      </c>
      <c r="AM18" s="119" t="s">
        <v>416</v>
      </c>
      <c r="AN18" s="100" t="s">
        <v>416</v>
      </c>
      <c r="AO18" s="100" t="s">
        <v>416</v>
      </c>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row>
    <row r="19" spans="1:159">
      <c r="A19" s="100" t="s">
        <v>425</v>
      </c>
      <c r="B19" s="100" t="s">
        <v>286</v>
      </c>
      <c r="C19" s="100" t="s">
        <v>105</v>
      </c>
      <c r="D19" s="100">
        <v>500</v>
      </c>
      <c r="E19" s="100">
        <v>2500</v>
      </c>
      <c r="F19" s="120">
        <v>40538</v>
      </c>
      <c r="G19" s="121">
        <v>0.59027777777777779</v>
      </c>
      <c r="H19" s="100" t="s">
        <v>415</v>
      </c>
      <c r="I19" s="100">
        <v>0</v>
      </c>
      <c r="J19" s="117">
        <v>-6.6</v>
      </c>
      <c r="K19" s="100">
        <v>22</v>
      </c>
      <c r="L19" s="100">
        <v>21.9</v>
      </c>
      <c r="M19" s="100" t="s">
        <v>415</v>
      </c>
      <c r="N19" s="115">
        <v>88.4</v>
      </c>
      <c r="O19" s="118">
        <v>32.200000000000003</v>
      </c>
      <c r="P19" s="119">
        <v>56.2</v>
      </c>
      <c r="Q19" s="100" t="s">
        <v>415</v>
      </c>
      <c r="R19" s="151">
        <v>51.5</v>
      </c>
      <c r="S19" s="118">
        <v>41</v>
      </c>
      <c r="T19" s="119">
        <v>10.5</v>
      </c>
      <c r="U19" s="100">
        <v>29.7</v>
      </c>
      <c r="V19" s="100">
        <v>41.6</v>
      </c>
      <c r="W19" s="100" t="s">
        <v>415</v>
      </c>
      <c r="X19" s="115">
        <v>50.9</v>
      </c>
      <c r="Y19" s="100">
        <v>44.7</v>
      </c>
      <c r="Z19" s="100">
        <v>12.1</v>
      </c>
      <c r="AA19" s="100" t="s">
        <v>415</v>
      </c>
      <c r="AB19" s="115">
        <v>0</v>
      </c>
      <c r="AC19" s="100">
        <v>0</v>
      </c>
      <c r="AD19" s="100" t="s">
        <v>415</v>
      </c>
      <c r="AE19" s="115">
        <v>0</v>
      </c>
      <c r="AF19" s="118">
        <v>0</v>
      </c>
      <c r="AG19" s="119">
        <v>0</v>
      </c>
      <c r="AH19" s="100">
        <v>0</v>
      </c>
      <c r="AI19" s="100">
        <v>0</v>
      </c>
      <c r="AJ19" s="100" t="s">
        <v>415</v>
      </c>
      <c r="AK19" s="115" t="s">
        <v>416</v>
      </c>
      <c r="AL19" s="118" t="s">
        <v>416</v>
      </c>
      <c r="AM19" s="119" t="s">
        <v>416</v>
      </c>
      <c r="AN19" s="100" t="s">
        <v>416</v>
      </c>
      <c r="AO19" s="100" t="s">
        <v>416</v>
      </c>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row>
    <row r="20" spans="1:159">
      <c r="A20" s="100" t="s">
        <v>426</v>
      </c>
      <c r="B20" s="100" t="s">
        <v>286</v>
      </c>
      <c r="C20" s="100" t="s">
        <v>211</v>
      </c>
      <c r="D20" s="100">
        <v>0</v>
      </c>
      <c r="E20" s="100">
        <v>0</v>
      </c>
      <c r="F20" s="120">
        <v>40538</v>
      </c>
      <c r="G20" s="121">
        <v>0.59722222222222221</v>
      </c>
      <c r="H20" s="100" t="s">
        <v>415</v>
      </c>
      <c r="I20" s="100">
        <v>0</v>
      </c>
      <c r="J20" s="117">
        <v>-4.2</v>
      </c>
      <c r="K20" s="100">
        <v>20.399999999999999</v>
      </c>
      <c r="L20" s="100">
        <v>23.3</v>
      </c>
      <c r="M20" s="100" t="s">
        <v>415</v>
      </c>
      <c r="N20" s="115">
        <v>92</v>
      </c>
      <c r="O20" s="118">
        <v>50</v>
      </c>
      <c r="P20" s="119">
        <v>42</v>
      </c>
      <c r="Q20" s="100" t="s">
        <v>415</v>
      </c>
      <c r="R20" s="151">
        <v>58.1</v>
      </c>
      <c r="S20" s="118">
        <v>48.5</v>
      </c>
      <c r="T20" s="119">
        <v>9.6</v>
      </c>
      <c r="U20" s="100">
        <v>48.8</v>
      </c>
      <c r="V20" s="100">
        <v>49.1</v>
      </c>
      <c r="W20" s="100" t="s">
        <v>415</v>
      </c>
      <c r="X20" s="115">
        <v>53.5</v>
      </c>
      <c r="Y20" s="100">
        <v>47.1</v>
      </c>
      <c r="Z20" s="100">
        <v>49.1</v>
      </c>
      <c r="AA20" s="100" t="s">
        <v>415</v>
      </c>
      <c r="AB20" s="115">
        <v>85.8</v>
      </c>
      <c r="AC20" s="100">
        <v>0.5</v>
      </c>
      <c r="AD20" s="100" t="s">
        <v>415</v>
      </c>
      <c r="AE20" s="115">
        <v>0</v>
      </c>
      <c r="AF20" s="118">
        <v>0</v>
      </c>
      <c r="AG20" s="119">
        <v>0</v>
      </c>
      <c r="AH20" s="100">
        <v>0</v>
      </c>
      <c r="AI20" s="100">
        <v>0</v>
      </c>
      <c r="AJ20" s="100" t="s">
        <v>415</v>
      </c>
      <c r="AK20" s="115" t="s">
        <v>416</v>
      </c>
      <c r="AL20" s="118" t="s">
        <v>416</v>
      </c>
      <c r="AM20" s="119" t="s">
        <v>416</v>
      </c>
      <c r="AN20" s="100" t="s">
        <v>416</v>
      </c>
      <c r="AO20" s="100" t="s">
        <v>416</v>
      </c>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row>
    <row r="21" spans="1:159">
      <c r="A21" s="100" t="s">
        <v>427</v>
      </c>
      <c r="B21" s="100" t="s">
        <v>420</v>
      </c>
      <c r="C21" s="100" t="s">
        <v>142</v>
      </c>
      <c r="D21" s="100">
        <v>1000</v>
      </c>
      <c r="E21" s="100">
        <v>11200</v>
      </c>
      <c r="F21" s="120">
        <v>40538</v>
      </c>
      <c r="G21" s="121">
        <v>0.59027777777777779</v>
      </c>
      <c r="H21" s="100" t="s">
        <v>415</v>
      </c>
      <c r="I21" s="100">
        <v>0</v>
      </c>
      <c r="J21" s="117">
        <v>-5.3</v>
      </c>
      <c r="K21" s="100">
        <v>22.3</v>
      </c>
      <c r="L21" s="100">
        <v>22.2</v>
      </c>
      <c r="M21" s="100" t="s">
        <v>415</v>
      </c>
      <c r="N21" s="115">
        <v>90.2</v>
      </c>
      <c r="O21" s="118">
        <v>42.3</v>
      </c>
      <c r="P21" s="119">
        <v>47.9</v>
      </c>
      <c r="Q21" s="100" t="s">
        <v>415</v>
      </c>
      <c r="R21" s="151">
        <v>55.5</v>
      </c>
      <c r="S21" s="118">
        <v>42.3</v>
      </c>
      <c r="T21" s="119">
        <v>13.2</v>
      </c>
      <c r="U21" s="100">
        <v>91.2</v>
      </c>
      <c r="V21" s="100">
        <v>44.3</v>
      </c>
      <c r="W21" s="100" t="s">
        <v>415</v>
      </c>
      <c r="X21" s="115">
        <v>55</v>
      </c>
      <c r="Y21" s="100">
        <v>52.1</v>
      </c>
      <c r="Z21" s="100">
        <v>17.8</v>
      </c>
      <c r="AA21" s="100" t="s">
        <v>415</v>
      </c>
      <c r="AB21" s="115">
        <v>332</v>
      </c>
      <c r="AC21" s="100">
        <v>1.6</v>
      </c>
      <c r="AD21" s="100" t="s">
        <v>415</v>
      </c>
      <c r="AE21" s="115">
        <v>0</v>
      </c>
      <c r="AF21" s="118">
        <v>0</v>
      </c>
      <c r="AG21" s="119">
        <v>0</v>
      </c>
      <c r="AH21" s="100">
        <v>0</v>
      </c>
      <c r="AI21" s="100">
        <v>0</v>
      </c>
      <c r="AJ21" s="100" t="s">
        <v>415</v>
      </c>
      <c r="AK21" s="115" t="s">
        <v>416</v>
      </c>
      <c r="AL21" s="118" t="s">
        <v>416</v>
      </c>
      <c r="AM21" s="119" t="s">
        <v>416</v>
      </c>
      <c r="AN21" s="100" t="s">
        <v>416</v>
      </c>
      <c r="AO21" s="100" t="s">
        <v>416</v>
      </c>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row>
    <row r="22" spans="1:159">
      <c r="A22" s="100" t="s">
        <v>428</v>
      </c>
      <c r="B22" s="100" t="s">
        <v>286</v>
      </c>
      <c r="C22" s="100" t="s">
        <v>262</v>
      </c>
      <c r="D22" s="100">
        <v>1055</v>
      </c>
      <c r="E22" s="100">
        <v>11200</v>
      </c>
      <c r="F22" s="120">
        <v>40538</v>
      </c>
      <c r="G22" s="121">
        <v>0.59027777777777779</v>
      </c>
      <c r="H22" s="100" t="s">
        <v>415</v>
      </c>
      <c r="I22" s="100">
        <v>0</v>
      </c>
      <c r="J22" s="117">
        <v>-3.4</v>
      </c>
      <c r="K22" s="100">
        <v>22.7</v>
      </c>
      <c r="L22" s="100">
        <v>19.8</v>
      </c>
      <c r="M22" s="100" t="s">
        <v>415</v>
      </c>
      <c r="N22" s="115">
        <v>93.3</v>
      </c>
      <c r="O22" s="118">
        <v>39</v>
      </c>
      <c r="P22" s="119">
        <v>54.3</v>
      </c>
      <c r="Q22" s="100" t="s">
        <v>415</v>
      </c>
      <c r="R22" s="151">
        <v>48.8</v>
      </c>
      <c r="S22" s="118">
        <v>38.9</v>
      </c>
      <c r="T22" s="119">
        <v>9.9</v>
      </c>
      <c r="U22" s="100">
        <v>29.1</v>
      </c>
      <c r="V22" s="100">
        <v>39.5</v>
      </c>
      <c r="W22" s="100" t="s">
        <v>415</v>
      </c>
      <c r="X22" s="115">
        <v>55.9</v>
      </c>
      <c r="Y22" s="100">
        <v>52.5</v>
      </c>
      <c r="Z22" s="100">
        <v>8.6</v>
      </c>
      <c r="AA22" s="100" t="s">
        <v>415</v>
      </c>
      <c r="AB22" s="115">
        <v>337.5</v>
      </c>
      <c r="AC22" s="100">
        <v>1.5</v>
      </c>
      <c r="AD22" s="100" t="s">
        <v>415</v>
      </c>
      <c r="AE22" s="115">
        <v>48.7</v>
      </c>
      <c r="AF22" s="118">
        <v>38.700000000000003</v>
      </c>
      <c r="AG22" s="119">
        <v>10</v>
      </c>
      <c r="AH22" s="100">
        <v>40.200000000000003</v>
      </c>
      <c r="AI22" s="100">
        <v>39.4</v>
      </c>
      <c r="AJ22" s="100" t="s">
        <v>415</v>
      </c>
      <c r="AK22" s="115" t="s">
        <v>416</v>
      </c>
      <c r="AL22" s="118" t="s">
        <v>416</v>
      </c>
      <c r="AM22" s="119" t="s">
        <v>416</v>
      </c>
      <c r="AN22" s="100" t="s">
        <v>416</v>
      </c>
      <c r="AO22" s="100" t="s">
        <v>416</v>
      </c>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row>
    <row r="23" spans="1:159">
      <c r="A23" s="100" t="s">
        <v>429</v>
      </c>
      <c r="B23" s="100" t="s">
        <v>286</v>
      </c>
      <c r="C23" s="100" t="s">
        <v>139</v>
      </c>
      <c r="D23" s="100">
        <v>269</v>
      </c>
      <c r="E23" s="100">
        <v>2500</v>
      </c>
      <c r="F23" s="120">
        <v>40538</v>
      </c>
      <c r="G23" s="121">
        <v>0.59027777777777779</v>
      </c>
      <c r="H23" s="100" t="s">
        <v>415</v>
      </c>
      <c r="I23" s="100">
        <v>0</v>
      </c>
      <c r="J23" s="117">
        <v>-3.3</v>
      </c>
      <c r="K23" s="100">
        <v>20.6</v>
      </c>
      <c r="L23" s="100">
        <v>20.9</v>
      </c>
      <c r="M23" s="100" t="s">
        <v>415</v>
      </c>
      <c r="N23" s="115">
        <v>90.8</v>
      </c>
      <c r="O23" s="118">
        <v>38.1</v>
      </c>
      <c r="P23" s="119">
        <v>52.7</v>
      </c>
      <c r="Q23" s="100" t="s">
        <v>415</v>
      </c>
      <c r="R23" s="151">
        <v>54.4</v>
      </c>
      <c r="S23" s="118">
        <v>44.9</v>
      </c>
      <c r="T23" s="119">
        <v>9.5</v>
      </c>
      <c r="U23" s="100">
        <v>42.9</v>
      </c>
      <c r="V23" s="100">
        <v>45.5</v>
      </c>
      <c r="W23" s="100" t="s">
        <v>415</v>
      </c>
      <c r="X23" s="115">
        <v>53.1</v>
      </c>
      <c r="Y23" s="100">
        <v>50.3</v>
      </c>
      <c r="Z23" s="100">
        <v>17.899999999999999</v>
      </c>
      <c r="AA23" s="100" t="s">
        <v>415</v>
      </c>
      <c r="AB23" s="115">
        <v>104.1</v>
      </c>
      <c r="AC23" s="100">
        <v>0.5</v>
      </c>
      <c r="AD23" s="100" t="s">
        <v>415</v>
      </c>
      <c r="AE23" s="115">
        <v>0</v>
      </c>
      <c r="AF23" s="118">
        <v>0</v>
      </c>
      <c r="AG23" s="119">
        <v>0</v>
      </c>
      <c r="AH23" s="100">
        <v>0</v>
      </c>
      <c r="AI23" s="100">
        <v>0</v>
      </c>
      <c r="AJ23" s="100" t="s">
        <v>415</v>
      </c>
      <c r="AK23" s="115" t="s">
        <v>416</v>
      </c>
      <c r="AL23" s="118" t="s">
        <v>416</v>
      </c>
      <c r="AM23" s="119" t="s">
        <v>416</v>
      </c>
      <c r="AN23" s="100" t="s">
        <v>416</v>
      </c>
      <c r="AO23" s="100" t="s">
        <v>416</v>
      </c>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row>
    <row r="24" spans="1:159">
      <c r="A24" s="100" t="s">
        <v>430</v>
      </c>
      <c r="B24" s="100" t="s">
        <v>286</v>
      </c>
      <c r="C24" s="100" t="s">
        <v>290</v>
      </c>
      <c r="D24" s="100">
        <v>0</v>
      </c>
      <c r="E24" s="100">
        <v>0</v>
      </c>
      <c r="F24" s="120">
        <v>40538</v>
      </c>
      <c r="G24" s="121">
        <v>0.59027777777777779</v>
      </c>
      <c r="H24" s="100" t="s">
        <v>415</v>
      </c>
      <c r="I24" s="144">
        <v>0</v>
      </c>
      <c r="J24" s="145">
        <v>-4.9000000000000004</v>
      </c>
      <c r="K24" s="101">
        <v>23.4</v>
      </c>
      <c r="L24" s="101">
        <v>21.4</v>
      </c>
      <c r="M24" s="101" t="s">
        <v>415</v>
      </c>
      <c r="N24" s="146">
        <v>92.6</v>
      </c>
      <c r="O24" s="147">
        <v>43.4</v>
      </c>
      <c r="P24" s="148">
        <v>49.2</v>
      </c>
      <c r="Q24" s="101" t="s">
        <v>415</v>
      </c>
      <c r="R24" s="152">
        <v>54.1</v>
      </c>
      <c r="S24" s="147">
        <v>46.5</v>
      </c>
      <c r="T24" s="148">
        <v>7.6</v>
      </c>
      <c r="U24" s="101">
        <v>22.1</v>
      </c>
      <c r="V24" s="101">
        <v>45.2</v>
      </c>
      <c r="W24" s="101" t="s">
        <v>415</v>
      </c>
      <c r="X24" s="146">
        <v>55</v>
      </c>
      <c r="Y24" s="101">
        <v>49.5</v>
      </c>
      <c r="Z24" s="101">
        <v>13</v>
      </c>
      <c r="AA24" s="101" t="s">
        <v>415</v>
      </c>
      <c r="AB24" s="146">
        <v>705.2</v>
      </c>
      <c r="AC24" s="101">
        <v>3.4</v>
      </c>
      <c r="AD24" s="101" t="s">
        <v>415</v>
      </c>
      <c r="AE24" s="146">
        <v>50.7</v>
      </c>
      <c r="AF24" s="147">
        <v>37.200000000000003</v>
      </c>
      <c r="AG24" s="148">
        <v>13.5</v>
      </c>
      <c r="AH24" s="101">
        <v>68.099999999999994</v>
      </c>
      <c r="AI24" s="101">
        <v>40.1</v>
      </c>
      <c r="AJ24" s="101" t="s">
        <v>415</v>
      </c>
      <c r="AK24" s="146">
        <v>48.2</v>
      </c>
      <c r="AL24" s="147">
        <v>40.6</v>
      </c>
      <c r="AM24" s="148">
        <v>7.6</v>
      </c>
      <c r="AN24" s="101">
        <v>26.9</v>
      </c>
      <c r="AO24" s="101">
        <v>42.1</v>
      </c>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row>
    <row r="25" spans="1:159">
      <c r="A25" s="100" t="s">
        <v>431</v>
      </c>
      <c r="B25" s="100" t="s">
        <v>286</v>
      </c>
      <c r="C25" s="100" t="s">
        <v>432</v>
      </c>
      <c r="D25" s="100">
        <v>0</v>
      </c>
      <c r="E25" s="100">
        <v>0</v>
      </c>
      <c r="F25" s="120">
        <v>40538</v>
      </c>
      <c r="G25" s="121">
        <v>0.58333333333333337</v>
      </c>
      <c r="H25" s="100" t="s">
        <v>415</v>
      </c>
      <c r="I25" s="100">
        <v>0</v>
      </c>
      <c r="J25" s="117">
        <v>-5.3</v>
      </c>
      <c r="K25" s="100">
        <v>19.399999999999999</v>
      </c>
      <c r="L25" s="100">
        <v>20.9</v>
      </c>
      <c r="M25" s="100" t="s">
        <v>415</v>
      </c>
      <c r="N25" s="115">
        <v>92.1</v>
      </c>
      <c r="O25" s="118">
        <v>48.7</v>
      </c>
      <c r="P25" s="119">
        <v>43.4</v>
      </c>
      <c r="Q25" s="100" t="s">
        <v>415</v>
      </c>
      <c r="R25" s="151">
        <v>56.7</v>
      </c>
      <c r="S25" s="118">
        <v>45.7</v>
      </c>
      <c r="T25" s="119">
        <v>11</v>
      </c>
      <c r="U25" s="100">
        <v>32.6</v>
      </c>
      <c r="V25" s="100">
        <v>45.8</v>
      </c>
      <c r="W25" s="100" t="s">
        <v>415</v>
      </c>
      <c r="X25" s="115">
        <v>54.8</v>
      </c>
      <c r="Y25" s="100">
        <v>47.8</v>
      </c>
      <c r="Z25" s="100">
        <v>10.9</v>
      </c>
      <c r="AA25" s="100" t="s">
        <v>415</v>
      </c>
      <c r="AB25" s="115">
        <v>111</v>
      </c>
      <c r="AC25" s="100">
        <v>0.6</v>
      </c>
      <c r="AD25" s="100" t="s">
        <v>415</v>
      </c>
      <c r="AE25" s="115">
        <v>0</v>
      </c>
      <c r="AF25" s="118">
        <v>0</v>
      </c>
      <c r="AG25" s="119">
        <v>0</v>
      </c>
      <c r="AH25" s="100">
        <v>0</v>
      </c>
      <c r="AI25" s="100">
        <v>0</v>
      </c>
      <c r="AJ25" s="100" t="s">
        <v>415</v>
      </c>
      <c r="AK25" s="115" t="s">
        <v>416</v>
      </c>
      <c r="AL25" s="118" t="s">
        <v>416</v>
      </c>
      <c r="AM25" s="119" t="s">
        <v>416</v>
      </c>
      <c r="AN25" s="100" t="s">
        <v>416</v>
      </c>
      <c r="AO25" s="100" t="s">
        <v>416</v>
      </c>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row>
    <row r="26" spans="1:159">
      <c r="A26" s="100" t="s">
        <v>527</v>
      </c>
      <c r="B26" s="100" t="s">
        <v>286</v>
      </c>
      <c r="C26" s="100" t="s">
        <v>529</v>
      </c>
      <c r="D26" s="100">
        <v>567</v>
      </c>
      <c r="E26" s="100">
        <v>4040</v>
      </c>
      <c r="F26" s="120">
        <v>40538</v>
      </c>
      <c r="G26" s="121">
        <v>0.59027777777777779</v>
      </c>
      <c r="H26" s="100" t="s">
        <v>415</v>
      </c>
      <c r="I26" s="100">
        <v>0</v>
      </c>
      <c r="J26" s="117">
        <v>-4</v>
      </c>
      <c r="K26" s="100">
        <v>18.8</v>
      </c>
      <c r="L26" s="100">
        <v>19.8</v>
      </c>
      <c r="M26" s="100" t="s">
        <v>415</v>
      </c>
      <c r="N26" s="115">
        <v>92</v>
      </c>
      <c r="O26" s="118">
        <v>44</v>
      </c>
      <c r="P26" s="119">
        <v>48</v>
      </c>
      <c r="Q26" s="100" t="s">
        <v>415</v>
      </c>
      <c r="R26" s="151">
        <v>54.4</v>
      </c>
      <c r="S26" s="118">
        <v>44.1</v>
      </c>
      <c r="T26" s="119">
        <v>10.3</v>
      </c>
      <c r="U26" s="100">
        <v>46.7</v>
      </c>
      <c r="V26" s="100">
        <v>44.4</v>
      </c>
      <c r="W26" s="100" t="s">
        <v>415</v>
      </c>
      <c r="X26" s="115">
        <v>57.3</v>
      </c>
      <c r="Y26" s="100">
        <v>53.3</v>
      </c>
      <c r="Z26" s="100">
        <v>1.9</v>
      </c>
      <c r="AA26" s="100" t="s">
        <v>415</v>
      </c>
      <c r="AB26" s="115">
        <v>208.2</v>
      </c>
      <c r="AC26" s="100">
        <v>1.1000000000000001</v>
      </c>
      <c r="AD26" s="100" t="s">
        <v>415</v>
      </c>
      <c r="AE26" s="115">
        <v>59.5</v>
      </c>
      <c r="AF26" s="118">
        <v>36.5</v>
      </c>
      <c r="AG26" s="119">
        <v>23</v>
      </c>
      <c r="AH26" s="100">
        <v>77.7</v>
      </c>
      <c r="AI26" s="100">
        <v>36.799999999999997</v>
      </c>
      <c r="AJ26" s="100" t="s">
        <v>415</v>
      </c>
      <c r="AK26" s="115" t="s">
        <v>416</v>
      </c>
      <c r="AL26" s="118" t="s">
        <v>416</v>
      </c>
      <c r="AM26" s="119" t="s">
        <v>416</v>
      </c>
      <c r="AN26" s="100" t="s">
        <v>416</v>
      </c>
      <c r="AO26" s="100" t="s">
        <v>416</v>
      </c>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row>
    <row r="27" spans="1:159">
      <c r="A27" s="100" t="s">
        <v>539</v>
      </c>
      <c r="B27" s="100" t="s">
        <v>286</v>
      </c>
      <c r="C27" s="100" t="s">
        <v>540</v>
      </c>
      <c r="D27" s="100">
        <v>0</v>
      </c>
      <c r="E27" s="100">
        <v>0</v>
      </c>
      <c r="F27" s="120">
        <v>40538</v>
      </c>
      <c r="G27" s="121">
        <v>0.59027777777777779</v>
      </c>
      <c r="H27" s="100" t="s">
        <v>415</v>
      </c>
      <c r="I27" s="100">
        <v>1</v>
      </c>
      <c r="J27" s="117">
        <v>-5.5</v>
      </c>
      <c r="K27" s="100">
        <v>20</v>
      </c>
      <c r="L27" s="100">
        <v>21.1</v>
      </c>
      <c r="M27" s="100" t="s">
        <v>415</v>
      </c>
      <c r="N27" s="115">
        <v>96</v>
      </c>
      <c r="O27" s="118">
        <v>43</v>
      </c>
      <c r="P27" s="119">
        <v>53</v>
      </c>
      <c r="Q27" s="100" t="s">
        <v>415</v>
      </c>
      <c r="R27" s="151">
        <v>56</v>
      </c>
      <c r="S27" s="118">
        <v>46.6</v>
      </c>
      <c r="T27" s="119">
        <v>9.4</v>
      </c>
      <c r="U27" s="100">
        <v>43.8</v>
      </c>
      <c r="V27" s="100">
        <v>43</v>
      </c>
      <c r="W27" s="100" t="s">
        <v>415</v>
      </c>
      <c r="X27" s="115">
        <v>56</v>
      </c>
      <c r="Y27" s="100">
        <v>46.6</v>
      </c>
      <c r="Z27" s="100">
        <v>3.4</v>
      </c>
      <c r="AA27" s="100" t="s">
        <v>415</v>
      </c>
      <c r="AB27" s="115">
        <v>203.7</v>
      </c>
      <c r="AC27" s="100">
        <v>1</v>
      </c>
      <c r="AD27" s="100" t="s">
        <v>415</v>
      </c>
      <c r="AE27" s="115">
        <v>55.8</v>
      </c>
      <c r="AF27" s="118">
        <v>32.5</v>
      </c>
      <c r="AG27" s="119">
        <v>23.3</v>
      </c>
      <c r="AH27" s="100">
        <v>29.9</v>
      </c>
      <c r="AI27" s="100">
        <v>34.700000000000003</v>
      </c>
      <c r="AJ27" s="100" t="s">
        <v>415</v>
      </c>
      <c r="AK27" s="115" t="s">
        <v>416</v>
      </c>
      <c r="AL27" s="118" t="s">
        <v>416</v>
      </c>
      <c r="AM27" s="119" t="s">
        <v>416</v>
      </c>
      <c r="AN27" s="100" t="s">
        <v>416</v>
      </c>
      <c r="AO27" s="100" t="s">
        <v>416</v>
      </c>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row>
    <row r="28" spans="1:159">
      <c r="A28" s="100" t="s">
        <v>541</v>
      </c>
      <c r="B28" s="100" t="s">
        <v>286</v>
      </c>
      <c r="C28" s="100" t="s">
        <v>542</v>
      </c>
      <c r="D28" s="100">
        <v>0</v>
      </c>
      <c r="E28" s="100">
        <v>0</v>
      </c>
      <c r="F28" s="120">
        <v>40538</v>
      </c>
      <c r="G28" s="121">
        <v>0.59027777777777779</v>
      </c>
      <c r="H28" s="100" t="s">
        <v>415</v>
      </c>
      <c r="I28" s="100">
        <v>0</v>
      </c>
      <c r="J28" s="117">
        <v>-5.5</v>
      </c>
      <c r="K28" s="100">
        <v>18.5</v>
      </c>
      <c r="L28" s="100">
        <v>20.8</v>
      </c>
      <c r="M28" s="100" t="s">
        <v>415</v>
      </c>
      <c r="N28" s="115">
        <v>93.8</v>
      </c>
      <c r="O28" s="118">
        <v>46.3</v>
      </c>
      <c r="P28" s="119">
        <v>47.5</v>
      </c>
      <c r="Q28" s="100" t="s">
        <v>415</v>
      </c>
      <c r="R28" s="151">
        <v>55.8</v>
      </c>
      <c r="S28" s="118">
        <v>44.5</v>
      </c>
      <c r="T28" s="119">
        <v>11.3</v>
      </c>
      <c r="U28" s="100">
        <v>54.9</v>
      </c>
      <c r="V28" s="100">
        <v>48.7</v>
      </c>
      <c r="W28" s="100" t="s">
        <v>415</v>
      </c>
      <c r="X28" s="115">
        <v>53.4</v>
      </c>
      <c r="Y28" s="100">
        <v>43.8</v>
      </c>
      <c r="Z28" s="100">
        <v>4.4000000000000004</v>
      </c>
      <c r="AA28" s="100" t="s">
        <v>415</v>
      </c>
      <c r="AB28" s="115">
        <v>165</v>
      </c>
      <c r="AC28" s="100">
        <v>0.8</v>
      </c>
      <c r="AD28" s="100" t="s">
        <v>415</v>
      </c>
      <c r="AE28" s="115">
        <v>0</v>
      </c>
      <c r="AF28" s="118">
        <v>0</v>
      </c>
      <c r="AG28" s="119">
        <v>0</v>
      </c>
      <c r="AH28" s="100">
        <v>0</v>
      </c>
      <c r="AI28" s="100">
        <v>0</v>
      </c>
      <c r="AJ28" s="100" t="s">
        <v>415</v>
      </c>
      <c r="AK28" s="115" t="s">
        <v>416</v>
      </c>
      <c r="AL28" s="118" t="s">
        <v>416</v>
      </c>
      <c r="AM28" s="119" t="s">
        <v>416</v>
      </c>
      <c r="AN28" s="100" t="s">
        <v>416</v>
      </c>
      <c r="AO28" s="100" t="s">
        <v>416</v>
      </c>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row>
    <row r="29" spans="1:159">
      <c r="A29" s="100" t="s">
        <v>543</v>
      </c>
      <c r="B29" s="100" t="s">
        <v>286</v>
      </c>
      <c r="C29" s="100" t="s">
        <v>544</v>
      </c>
      <c r="D29" s="100">
        <v>0</v>
      </c>
      <c r="E29" s="100">
        <v>0</v>
      </c>
      <c r="F29" s="120">
        <v>40538</v>
      </c>
      <c r="G29" s="121">
        <v>0.59722222222222221</v>
      </c>
      <c r="H29" s="100" t="s">
        <v>415</v>
      </c>
      <c r="I29" s="100">
        <v>0</v>
      </c>
      <c r="J29" s="117">
        <v>-5.2</v>
      </c>
      <c r="K29" s="100">
        <v>21.5</v>
      </c>
      <c r="L29" s="100">
        <v>20.5</v>
      </c>
      <c r="M29" s="100" t="s">
        <v>415</v>
      </c>
      <c r="N29" s="115">
        <v>94.8</v>
      </c>
      <c r="O29" s="118">
        <v>41.6</v>
      </c>
      <c r="P29" s="119">
        <v>53.2</v>
      </c>
      <c r="Q29" s="100" t="s">
        <v>415</v>
      </c>
      <c r="R29" s="151">
        <v>55.7</v>
      </c>
      <c r="S29" s="118">
        <v>45.5</v>
      </c>
      <c r="T29" s="119">
        <v>10.199999999999999</v>
      </c>
      <c r="U29" s="100">
        <v>37</v>
      </c>
      <c r="V29" s="100">
        <v>47</v>
      </c>
      <c r="W29" s="100" t="s">
        <v>415</v>
      </c>
      <c r="X29" s="115">
        <v>55.3</v>
      </c>
      <c r="Y29" s="100">
        <v>48.7</v>
      </c>
      <c r="Z29" s="100">
        <v>8.1</v>
      </c>
      <c r="AA29" s="100" t="s">
        <v>415</v>
      </c>
      <c r="AB29" s="115">
        <v>433.5</v>
      </c>
      <c r="AC29" s="100">
        <v>2</v>
      </c>
      <c r="AD29" s="100" t="s">
        <v>415</v>
      </c>
      <c r="AE29" s="115">
        <v>49.5</v>
      </c>
      <c r="AF29" s="118">
        <v>53.4</v>
      </c>
      <c r="AG29" s="119">
        <v>-3.9</v>
      </c>
      <c r="AH29" s="100">
        <v>1.4</v>
      </c>
      <c r="AI29" s="100">
        <v>50.7</v>
      </c>
      <c r="AJ29" s="100" t="s">
        <v>415</v>
      </c>
      <c r="AK29" s="115" t="s">
        <v>416</v>
      </c>
      <c r="AL29" s="118" t="s">
        <v>416</v>
      </c>
      <c r="AM29" s="119" t="s">
        <v>416</v>
      </c>
      <c r="AN29" s="100" t="s">
        <v>416</v>
      </c>
      <c r="AO29" s="100" t="s">
        <v>416</v>
      </c>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row>
    <row r="30" spans="1:159">
      <c r="A30" s="100" t="s">
        <v>433</v>
      </c>
      <c r="B30" s="100" t="s">
        <v>255</v>
      </c>
      <c r="C30" s="100" t="s">
        <v>434</v>
      </c>
      <c r="D30" s="100">
        <v>0</v>
      </c>
      <c r="E30" s="100">
        <v>3000</v>
      </c>
      <c r="F30" s="120">
        <v>40538</v>
      </c>
      <c r="G30" s="121">
        <v>0.59027777777777779</v>
      </c>
      <c r="H30" s="100" t="s">
        <v>415</v>
      </c>
      <c r="I30" s="100">
        <v>0</v>
      </c>
      <c r="J30" s="117">
        <v>-3.6</v>
      </c>
      <c r="K30" s="100">
        <v>16.7</v>
      </c>
      <c r="L30" s="100">
        <v>22.3</v>
      </c>
      <c r="M30" s="100" t="s">
        <v>415</v>
      </c>
      <c r="N30" s="115">
        <v>105.1</v>
      </c>
      <c r="O30" s="118">
        <v>47.1</v>
      </c>
      <c r="P30" s="119">
        <v>58</v>
      </c>
      <c r="Q30" s="100" t="s">
        <v>415</v>
      </c>
      <c r="R30" s="151">
        <v>55.1</v>
      </c>
      <c r="S30" s="118">
        <v>46.8</v>
      </c>
      <c r="T30" s="119">
        <v>8.3000000000000007</v>
      </c>
      <c r="U30" s="100">
        <v>48.7</v>
      </c>
      <c r="V30" s="100">
        <v>47</v>
      </c>
      <c r="W30" s="100" t="s">
        <v>415</v>
      </c>
      <c r="X30" s="115">
        <v>52.3</v>
      </c>
      <c r="Y30" s="100">
        <v>51.4</v>
      </c>
      <c r="Z30" s="100">
        <v>18.7</v>
      </c>
      <c r="AA30" s="100" t="s">
        <v>415</v>
      </c>
      <c r="AB30" s="115">
        <v>0</v>
      </c>
      <c r="AC30" s="100">
        <v>0</v>
      </c>
      <c r="AD30" s="100" t="s">
        <v>415</v>
      </c>
      <c r="AE30" s="115">
        <v>0</v>
      </c>
      <c r="AF30" s="118">
        <v>0</v>
      </c>
      <c r="AG30" s="119">
        <v>0</v>
      </c>
      <c r="AH30" s="100">
        <v>0</v>
      </c>
      <c r="AI30" s="100">
        <v>0</v>
      </c>
      <c r="AJ30" s="100" t="s">
        <v>415</v>
      </c>
      <c r="AK30" s="115" t="s">
        <v>416</v>
      </c>
      <c r="AL30" s="118" t="s">
        <v>416</v>
      </c>
      <c r="AM30" s="119" t="s">
        <v>416</v>
      </c>
      <c r="AN30" s="100" t="s">
        <v>416</v>
      </c>
      <c r="AO30" s="100" t="s">
        <v>416</v>
      </c>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row>
    <row r="31" spans="1:159">
      <c r="A31" s="100" t="s">
        <v>435</v>
      </c>
      <c r="B31" s="100" t="s">
        <v>255</v>
      </c>
      <c r="C31" s="100" t="s">
        <v>130</v>
      </c>
      <c r="D31" s="100">
        <v>626</v>
      </c>
      <c r="E31" s="100">
        <v>6000</v>
      </c>
      <c r="F31" s="120">
        <v>40538</v>
      </c>
      <c r="G31" s="121">
        <v>0.59722222222222221</v>
      </c>
      <c r="H31" s="100" t="s">
        <v>415</v>
      </c>
      <c r="I31" s="100">
        <v>0</v>
      </c>
      <c r="J31" s="117">
        <v>-4.9000000000000004</v>
      </c>
      <c r="K31" s="100">
        <v>21.6</v>
      </c>
      <c r="L31" s="100">
        <v>23.1</v>
      </c>
      <c r="M31" s="100" t="s">
        <v>415</v>
      </c>
      <c r="N31" s="115">
        <v>105.1</v>
      </c>
      <c r="O31" s="118">
        <v>39</v>
      </c>
      <c r="P31" s="119">
        <v>66.099999999999994</v>
      </c>
      <c r="Q31" s="100" t="s">
        <v>415</v>
      </c>
      <c r="R31" s="151">
        <v>55.7</v>
      </c>
      <c r="S31" s="118">
        <v>41</v>
      </c>
      <c r="T31" s="119">
        <v>14.7</v>
      </c>
      <c r="U31" s="100">
        <v>48.7</v>
      </c>
      <c r="V31" s="100">
        <v>41.6</v>
      </c>
      <c r="W31" s="100" t="s">
        <v>415</v>
      </c>
      <c r="X31" s="115">
        <v>55</v>
      </c>
      <c r="Y31" s="100">
        <v>49.7</v>
      </c>
      <c r="Z31" s="100">
        <v>13.2</v>
      </c>
      <c r="AA31" s="100" t="s">
        <v>415</v>
      </c>
      <c r="AB31" s="115">
        <v>332.2</v>
      </c>
      <c r="AC31" s="100">
        <v>1.2</v>
      </c>
      <c r="AD31" s="100" t="s">
        <v>415</v>
      </c>
      <c r="AE31" s="115">
        <v>0</v>
      </c>
      <c r="AF31" s="118">
        <v>0</v>
      </c>
      <c r="AG31" s="119">
        <v>0</v>
      </c>
      <c r="AH31" s="100">
        <v>0</v>
      </c>
      <c r="AI31" s="100">
        <v>0</v>
      </c>
      <c r="AJ31" s="100" t="s">
        <v>415</v>
      </c>
      <c r="AK31" s="115" t="s">
        <v>416</v>
      </c>
      <c r="AL31" s="118" t="s">
        <v>416</v>
      </c>
      <c r="AM31" s="119" t="s">
        <v>416</v>
      </c>
      <c r="AN31" s="100" t="s">
        <v>416</v>
      </c>
      <c r="AO31" s="100" t="s">
        <v>416</v>
      </c>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row>
    <row r="32" spans="1:159">
      <c r="A32" s="100" t="s">
        <v>436</v>
      </c>
      <c r="B32" s="100" t="s">
        <v>255</v>
      </c>
      <c r="C32" s="100" t="s">
        <v>437</v>
      </c>
      <c r="D32" s="100">
        <v>473</v>
      </c>
      <c r="E32" s="100">
        <v>4400</v>
      </c>
      <c r="F32" s="120">
        <v>40538</v>
      </c>
      <c r="G32" s="121">
        <v>0.59027777777777779</v>
      </c>
      <c r="H32" s="100" t="s">
        <v>415</v>
      </c>
      <c r="I32" s="100">
        <v>0</v>
      </c>
      <c r="J32" s="117">
        <v>-4.9000000000000004</v>
      </c>
      <c r="K32" s="100">
        <v>22</v>
      </c>
      <c r="L32" s="100">
        <v>20.100000000000001</v>
      </c>
      <c r="M32" s="100" t="s">
        <v>415</v>
      </c>
      <c r="N32" s="115">
        <v>106.4</v>
      </c>
      <c r="O32" s="118">
        <v>35</v>
      </c>
      <c r="P32" s="119">
        <v>71.400000000000006</v>
      </c>
      <c r="Q32" s="100" t="s">
        <v>415</v>
      </c>
      <c r="R32" s="151">
        <v>50.7</v>
      </c>
      <c r="S32" s="118">
        <v>42</v>
      </c>
      <c r="T32" s="119">
        <v>8.6999999999999993</v>
      </c>
      <c r="U32" s="100">
        <v>40</v>
      </c>
      <c r="V32" s="100">
        <v>42.7</v>
      </c>
      <c r="W32" s="100" t="s">
        <v>415</v>
      </c>
      <c r="X32" s="115">
        <v>58.3</v>
      </c>
      <c r="Y32" s="100">
        <v>51.5</v>
      </c>
      <c r="Z32" s="100">
        <v>7.8</v>
      </c>
      <c r="AA32" s="100" t="s">
        <v>415</v>
      </c>
      <c r="AB32" s="115">
        <v>177.8</v>
      </c>
      <c r="AC32" s="100">
        <v>0.7</v>
      </c>
      <c r="AD32" s="100" t="s">
        <v>415</v>
      </c>
      <c r="AE32" s="115">
        <v>0</v>
      </c>
      <c r="AF32" s="118">
        <v>0</v>
      </c>
      <c r="AG32" s="119">
        <v>0</v>
      </c>
      <c r="AH32" s="100">
        <v>0</v>
      </c>
      <c r="AI32" s="100">
        <v>0</v>
      </c>
      <c r="AJ32" s="100" t="s">
        <v>415</v>
      </c>
      <c r="AK32" s="115" t="s">
        <v>416</v>
      </c>
      <c r="AL32" s="118" t="s">
        <v>416</v>
      </c>
      <c r="AM32" s="119" t="s">
        <v>416</v>
      </c>
      <c r="AN32" s="100" t="s">
        <v>416</v>
      </c>
      <c r="AO32" s="100" t="s">
        <v>416</v>
      </c>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row>
    <row r="33" spans="1:205">
      <c r="A33" s="100" t="s">
        <v>438</v>
      </c>
      <c r="B33" s="100" t="s">
        <v>255</v>
      </c>
      <c r="C33" s="100" t="s">
        <v>385</v>
      </c>
      <c r="D33" s="100">
        <v>0</v>
      </c>
      <c r="E33" s="100">
        <v>0</v>
      </c>
      <c r="F33" s="120">
        <v>40524</v>
      </c>
      <c r="G33" s="121">
        <v>8.3333333333333329E-2</v>
      </c>
      <c r="H33" s="100" t="s">
        <v>415</v>
      </c>
      <c r="I33" s="100">
        <v>0</v>
      </c>
      <c r="J33" s="117">
        <v>-7.5</v>
      </c>
      <c r="K33" s="100">
        <v>19.899999999999999</v>
      </c>
      <c r="L33" s="100">
        <v>19.2</v>
      </c>
      <c r="M33" s="100" t="s">
        <v>415</v>
      </c>
      <c r="N33" s="115">
        <v>109.4</v>
      </c>
      <c r="O33" s="118">
        <v>53.4</v>
      </c>
      <c r="P33" s="119">
        <v>56</v>
      </c>
      <c r="Q33" s="100" t="s">
        <v>415</v>
      </c>
      <c r="R33" s="151">
        <v>60.2</v>
      </c>
      <c r="S33" s="118">
        <v>54.4</v>
      </c>
      <c r="T33" s="119">
        <v>5.8</v>
      </c>
      <c r="U33" s="100">
        <v>40</v>
      </c>
      <c r="V33" s="100">
        <v>54.9</v>
      </c>
      <c r="W33" s="100" t="s">
        <v>415</v>
      </c>
      <c r="X33" s="115">
        <v>54.8</v>
      </c>
      <c r="Y33" s="100">
        <v>51.2</v>
      </c>
      <c r="Z33" s="100">
        <v>5.9</v>
      </c>
      <c r="AA33" s="100" t="s">
        <v>415</v>
      </c>
      <c r="AB33" s="115">
        <v>0</v>
      </c>
      <c r="AC33" s="100">
        <v>0</v>
      </c>
      <c r="AD33" s="100" t="s">
        <v>415</v>
      </c>
      <c r="AE33" s="115">
        <v>57</v>
      </c>
      <c r="AF33" s="118">
        <v>43.7</v>
      </c>
      <c r="AG33" s="119">
        <v>13.3</v>
      </c>
      <c r="AH33" s="100">
        <v>53.3</v>
      </c>
      <c r="AI33" s="100">
        <v>44.7</v>
      </c>
      <c r="AJ33" s="100" t="s">
        <v>415</v>
      </c>
      <c r="AK33" s="115" t="s">
        <v>416</v>
      </c>
      <c r="AL33" s="118" t="s">
        <v>416</v>
      </c>
      <c r="AM33" s="119" t="s">
        <v>416</v>
      </c>
      <c r="AN33" s="100" t="s">
        <v>416</v>
      </c>
      <c r="AO33" s="100" t="s">
        <v>416</v>
      </c>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s="96"/>
      <c r="FD33" s="96"/>
      <c r="FE33" s="96"/>
      <c r="FF33" s="96"/>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c r="GF33" s="96"/>
      <c r="GG33" s="96"/>
      <c r="GH33" s="96"/>
      <c r="GI33" s="96"/>
      <c r="GJ33" s="96"/>
      <c r="GK33" s="96"/>
      <c r="GL33" s="96"/>
      <c r="GM33" s="96"/>
      <c r="GN33" s="96"/>
      <c r="GO33" s="96"/>
      <c r="GP33" s="96"/>
      <c r="GQ33" s="96"/>
      <c r="GR33" s="96"/>
      <c r="GS33" s="96"/>
      <c r="GT33" s="96"/>
      <c r="GU33" s="96"/>
      <c r="GV33" s="96"/>
      <c r="GW33" s="96"/>
    </row>
    <row r="34" spans="1:205">
      <c r="A34" s="100" t="s">
        <v>579</v>
      </c>
      <c r="B34" s="100" t="s">
        <v>286</v>
      </c>
      <c r="C34" s="100" t="s">
        <v>580</v>
      </c>
      <c r="D34" s="100">
        <v>0</v>
      </c>
      <c r="E34" s="100">
        <v>0</v>
      </c>
      <c r="F34" s="120">
        <v>40538</v>
      </c>
      <c r="G34" s="121">
        <v>0.59027777777777779</v>
      </c>
      <c r="H34" s="100" t="s">
        <v>415</v>
      </c>
      <c r="I34" s="100">
        <v>0</v>
      </c>
      <c r="J34" s="117">
        <v>-4.5</v>
      </c>
      <c r="K34" s="100">
        <v>18.5</v>
      </c>
      <c r="L34" s="100">
        <v>21.3</v>
      </c>
      <c r="M34" s="100" t="s">
        <v>415</v>
      </c>
      <c r="N34" s="115">
        <v>87.2</v>
      </c>
      <c r="O34" s="118">
        <v>49.5</v>
      </c>
      <c r="P34" s="119">
        <v>37.700000000000003</v>
      </c>
      <c r="Q34" s="100" t="s">
        <v>415</v>
      </c>
      <c r="R34" s="151">
        <v>53</v>
      </c>
      <c r="S34" s="118">
        <v>48.9</v>
      </c>
      <c r="T34" s="119">
        <v>4.0999999999999996</v>
      </c>
      <c r="U34" s="100">
        <v>149.6</v>
      </c>
      <c r="V34" s="100">
        <v>50</v>
      </c>
      <c r="W34" s="100" t="s">
        <v>415</v>
      </c>
      <c r="X34" s="115">
        <v>55.2</v>
      </c>
      <c r="Y34" s="100">
        <v>46.5</v>
      </c>
      <c r="Z34" s="100">
        <v>10.4</v>
      </c>
      <c r="AA34" s="100" t="s">
        <v>415</v>
      </c>
      <c r="AB34" s="115">
        <v>0</v>
      </c>
      <c r="AC34" s="100">
        <v>0</v>
      </c>
      <c r="AD34" s="100" t="s">
        <v>415</v>
      </c>
      <c r="AE34" s="115">
        <v>0</v>
      </c>
      <c r="AF34" s="118">
        <v>0</v>
      </c>
      <c r="AG34" s="119">
        <v>0</v>
      </c>
      <c r="AH34" s="100">
        <v>0</v>
      </c>
      <c r="AI34" s="100">
        <v>0</v>
      </c>
      <c r="AJ34" s="100" t="s">
        <v>415</v>
      </c>
      <c r="AK34" s="115" t="s">
        <v>416</v>
      </c>
      <c r="AL34" s="118" t="s">
        <v>416</v>
      </c>
      <c r="AM34" s="119" t="s">
        <v>416</v>
      </c>
      <c r="AN34" s="100" t="s">
        <v>416</v>
      </c>
      <c r="AO34" s="100" t="s">
        <v>416</v>
      </c>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row>
    <row r="35" spans="1:205">
      <c r="A35" s="100" t="s">
        <v>582</v>
      </c>
      <c r="B35" s="100" t="s">
        <v>553</v>
      </c>
      <c r="C35" s="100" t="s">
        <v>583</v>
      </c>
      <c r="D35" s="100">
        <v>0</v>
      </c>
      <c r="E35" s="100">
        <v>0</v>
      </c>
      <c r="F35" s="120">
        <v>40538</v>
      </c>
      <c r="G35" s="121">
        <v>0.59722222222222221</v>
      </c>
      <c r="H35" s="100" t="s">
        <v>415</v>
      </c>
      <c r="I35" s="100">
        <v>2</v>
      </c>
      <c r="J35" s="117">
        <v>-5.3</v>
      </c>
      <c r="K35" s="100">
        <v>24.2</v>
      </c>
      <c r="L35" s="100">
        <v>22.5</v>
      </c>
      <c r="M35" s="100" t="s">
        <v>415</v>
      </c>
      <c r="N35" s="115">
        <v>72.5</v>
      </c>
      <c r="O35" s="118">
        <v>38.1</v>
      </c>
      <c r="P35" s="119">
        <v>34.4</v>
      </c>
      <c r="Q35" s="100" t="s">
        <v>415</v>
      </c>
      <c r="R35" s="151">
        <v>50.5</v>
      </c>
      <c r="S35" s="118">
        <v>41.6</v>
      </c>
      <c r="T35" s="119">
        <v>8.9</v>
      </c>
      <c r="U35" s="100">
        <v>117.6</v>
      </c>
      <c r="V35" s="100">
        <v>41.8</v>
      </c>
      <c r="W35" s="100" t="s">
        <v>415</v>
      </c>
      <c r="X35" s="115">
        <v>55</v>
      </c>
      <c r="Y35" s="100">
        <v>50.4</v>
      </c>
      <c r="Z35" s="100">
        <v>15.4</v>
      </c>
      <c r="AA35" s="100" t="s">
        <v>415</v>
      </c>
      <c r="AB35" s="115">
        <v>0</v>
      </c>
      <c r="AC35" s="100">
        <v>0</v>
      </c>
      <c r="AD35" s="100" t="s">
        <v>415</v>
      </c>
      <c r="AE35" s="115">
        <v>0</v>
      </c>
      <c r="AF35" s="118">
        <v>0</v>
      </c>
      <c r="AG35" s="119">
        <v>0</v>
      </c>
      <c r="AH35" s="100">
        <v>0</v>
      </c>
      <c r="AI35" s="100">
        <v>0</v>
      </c>
      <c r="AJ35" s="100" t="s">
        <v>415</v>
      </c>
      <c r="AK35" s="115" t="s">
        <v>416</v>
      </c>
      <c r="AL35" s="118" t="s">
        <v>416</v>
      </c>
      <c r="AM35" s="119" t="s">
        <v>416</v>
      </c>
      <c r="AN35" s="100" t="s">
        <v>416</v>
      </c>
      <c r="AO35" s="100" t="s">
        <v>416</v>
      </c>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row>
    <row r="36" spans="1:205">
      <c r="A36" s="100" t="s">
        <v>567</v>
      </c>
      <c r="B36" s="100" t="s">
        <v>553</v>
      </c>
      <c r="C36" s="100" t="s">
        <v>568</v>
      </c>
      <c r="D36" s="100">
        <v>0</v>
      </c>
      <c r="E36" s="100">
        <v>0</v>
      </c>
      <c r="F36" s="120">
        <v>40538</v>
      </c>
      <c r="G36" s="121">
        <v>0.59722222222222221</v>
      </c>
      <c r="H36" s="100" t="s">
        <v>415</v>
      </c>
      <c r="I36" s="100">
        <v>1</v>
      </c>
      <c r="J36" s="117">
        <v>-5.0999999999999996</v>
      </c>
      <c r="K36" s="100">
        <v>22.1</v>
      </c>
      <c r="L36" s="100">
        <v>21.4</v>
      </c>
      <c r="M36" s="100" t="s">
        <v>415</v>
      </c>
      <c r="N36" s="115">
        <v>75</v>
      </c>
      <c r="O36" s="118">
        <v>42</v>
      </c>
      <c r="P36" s="119">
        <v>33</v>
      </c>
      <c r="Q36" s="100" t="s">
        <v>415</v>
      </c>
      <c r="R36" s="151">
        <v>50.8</v>
      </c>
      <c r="S36" s="118">
        <v>39.799999999999997</v>
      </c>
      <c r="T36" s="119">
        <v>11</v>
      </c>
      <c r="U36" s="100">
        <v>88.2</v>
      </c>
      <c r="V36" s="100">
        <v>40.9</v>
      </c>
      <c r="W36" s="100" t="s">
        <v>415</v>
      </c>
      <c r="X36" s="115">
        <v>54.8</v>
      </c>
      <c r="Y36" s="100">
        <v>47.5</v>
      </c>
      <c r="Z36" s="100">
        <v>8.4</v>
      </c>
      <c r="AA36" s="100" t="s">
        <v>415</v>
      </c>
      <c r="AB36" s="115">
        <v>274.2</v>
      </c>
      <c r="AC36" s="100">
        <v>2</v>
      </c>
      <c r="AD36" s="100" t="s">
        <v>415</v>
      </c>
      <c r="AE36" s="115">
        <v>0</v>
      </c>
      <c r="AF36" s="118">
        <v>0</v>
      </c>
      <c r="AG36" s="119">
        <v>0</v>
      </c>
      <c r="AH36" s="100">
        <v>0</v>
      </c>
      <c r="AI36" s="100">
        <v>0</v>
      </c>
      <c r="AJ36" s="100" t="s">
        <v>415</v>
      </c>
      <c r="AK36" s="115" t="s">
        <v>416</v>
      </c>
      <c r="AL36" s="118" t="s">
        <v>416</v>
      </c>
      <c r="AM36" s="119" t="s">
        <v>416</v>
      </c>
      <c r="AN36" s="100" t="s">
        <v>416</v>
      </c>
      <c r="AO36" s="100" t="s">
        <v>416</v>
      </c>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row>
    <row r="37" spans="1:205">
      <c r="A37" s="100" t="s">
        <v>569</v>
      </c>
      <c r="B37" s="100" t="s">
        <v>553</v>
      </c>
      <c r="C37" s="100" t="s">
        <v>570</v>
      </c>
      <c r="D37" s="100">
        <v>0</v>
      </c>
      <c r="E37" s="100">
        <v>0</v>
      </c>
      <c r="F37" s="120">
        <v>40538</v>
      </c>
      <c r="G37" s="121">
        <v>0.59722222222222221</v>
      </c>
      <c r="H37" s="100" t="s">
        <v>415</v>
      </c>
      <c r="I37" s="100">
        <v>3</v>
      </c>
      <c r="J37" s="117">
        <v>-5.6</v>
      </c>
      <c r="K37" s="100">
        <v>21.4</v>
      </c>
      <c r="L37" s="100">
        <v>22.5</v>
      </c>
      <c r="M37" s="100" t="s">
        <v>415</v>
      </c>
      <c r="N37" s="115">
        <v>63.6</v>
      </c>
      <c r="O37" s="118">
        <v>38.4</v>
      </c>
      <c r="P37" s="119">
        <v>25.2</v>
      </c>
      <c r="Q37" s="100" t="s">
        <v>415</v>
      </c>
      <c r="R37" s="151">
        <v>51.3</v>
      </c>
      <c r="S37" s="118">
        <v>40.700000000000003</v>
      </c>
      <c r="T37" s="119">
        <v>10.6</v>
      </c>
      <c r="U37" s="100">
        <v>134.1</v>
      </c>
      <c r="V37" s="100">
        <v>41.5</v>
      </c>
      <c r="W37" s="100" t="s">
        <v>415</v>
      </c>
      <c r="X37" s="115">
        <v>55.1</v>
      </c>
      <c r="Y37" s="100">
        <v>48.3</v>
      </c>
      <c r="Z37" s="100">
        <v>13.2</v>
      </c>
      <c r="AA37" s="100" t="s">
        <v>415</v>
      </c>
      <c r="AB37" s="115">
        <v>0</v>
      </c>
      <c r="AC37" s="100">
        <v>0</v>
      </c>
      <c r="AD37" s="100" t="s">
        <v>415</v>
      </c>
      <c r="AE37" s="115">
        <v>0</v>
      </c>
      <c r="AF37" s="118">
        <v>0</v>
      </c>
      <c r="AG37" s="119">
        <v>0</v>
      </c>
      <c r="AH37" s="100">
        <v>0</v>
      </c>
      <c r="AI37" s="100">
        <v>0</v>
      </c>
      <c r="AJ37" s="100" t="s">
        <v>415</v>
      </c>
      <c r="AK37" s="115" t="s">
        <v>416</v>
      </c>
      <c r="AL37" s="118" t="s">
        <v>416</v>
      </c>
      <c r="AM37" s="119" t="s">
        <v>416</v>
      </c>
      <c r="AN37" s="100" t="s">
        <v>416</v>
      </c>
      <c r="AO37" s="100" t="s">
        <v>416</v>
      </c>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row>
    <row r="38" spans="1:205">
      <c r="A38" s="100" t="s">
        <v>590</v>
      </c>
      <c r="B38" s="100" t="s">
        <v>553</v>
      </c>
      <c r="C38" s="100" t="s">
        <v>591</v>
      </c>
      <c r="D38" s="100">
        <v>0</v>
      </c>
      <c r="E38" s="100">
        <v>0</v>
      </c>
      <c r="F38" s="120">
        <v>40471</v>
      </c>
      <c r="G38" s="121">
        <v>0.75694444444444453</v>
      </c>
      <c r="H38" s="100" t="s">
        <v>415</v>
      </c>
      <c r="I38" s="100">
        <v>1</v>
      </c>
      <c r="J38" s="117">
        <v>3.3</v>
      </c>
      <c r="K38" s="100">
        <v>0</v>
      </c>
      <c r="L38" s="100">
        <v>0</v>
      </c>
      <c r="M38" s="100" t="s">
        <v>415</v>
      </c>
      <c r="N38" s="115">
        <v>65.599999999999994</v>
      </c>
      <c r="O38" s="118">
        <v>32.4</v>
      </c>
      <c r="P38" s="119">
        <v>33.200000000000003</v>
      </c>
      <c r="Q38" s="100" t="s">
        <v>415</v>
      </c>
      <c r="R38" s="151">
        <v>44</v>
      </c>
      <c r="S38" s="118">
        <v>38.4</v>
      </c>
      <c r="T38" s="119">
        <v>5.6</v>
      </c>
      <c r="U38" s="100">
        <v>76</v>
      </c>
      <c r="V38" s="100">
        <v>38.6</v>
      </c>
      <c r="W38" s="100" t="s">
        <v>415</v>
      </c>
      <c r="X38" s="115">
        <v>55.8</v>
      </c>
      <c r="Y38" s="100">
        <v>52.6</v>
      </c>
      <c r="Z38" s="100">
        <v>10.7</v>
      </c>
      <c r="AA38" s="100" t="s">
        <v>415</v>
      </c>
      <c r="AB38" s="115">
        <v>0</v>
      </c>
      <c r="AC38" s="100">
        <v>0</v>
      </c>
      <c r="AD38" s="100" t="s">
        <v>415</v>
      </c>
      <c r="AE38" s="115">
        <v>0</v>
      </c>
      <c r="AF38" s="118">
        <v>0</v>
      </c>
      <c r="AG38" s="119">
        <v>0</v>
      </c>
      <c r="AH38" s="100">
        <v>0</v>
      </c>
      <c r="AI38" s="100">
        <v>0</v>
      </c>
      <c r="AJ38" s="100" t="s">
        <v>415</v>
      </c>
      <c r="AK38" s="115" t="s">
        <v>416</v>
      </c>
      <c r="AL38" s="118" t="s">
        <v>416</v>
      </c>
      <c r="AM38" s="119" t="s">
        <v>416</v>
      </c>
      <c r="AN38" s="100" t="s">
        <v>416</v>
      </c>
      <c r="AO38" s="100" t="s">
        <v>416</v>
      </c>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row>
    <row r="39" spans="1:205">
      <c r="A39" s="100" t="s">
        <v>635</v>
      </c>
      <c r="B39" s="100" t="s">
        <v>553</v>
      </c>
      <c r="C39" s="100" t="s">
        <v>636</v>
      </c>
      <c r="D39" s="100">
        <v>0</v>
      </c>
      <c r="E39" s="100">
        <v>0</v>
      </c>
      <c r="F39" s="120">
        <v>40485</v>
      </c>
      <c r="G39" s="121">
        <v>0.4513888888888889</v>
      </c>
      <c r="H39" s="100" t="s">
        <v>415</v>
      </c>
      <c r="I39" s="100">
        <v>4</v>
      </c>
      <c r="J39" s="117">
        <v>8.4</v>
      </c>
      <c r="K39" s="100">
        <v>0</v>
      </c>
      <c r="L39" s="100">
        <v>0</v>
      </c>
      <c r="M39" s="100" t="s">
        <v>415</v>
      </c>
      <c r="N39" s="115">
        <v>63.7</v>
      </c>
      <c r="O39" s="118">
        <v>41.4</v>
      </c>
      <c r="P39" s="119">
        <v>22.3</v>
      </c>
      <c r="Q39" s="100" t="s">
        <v>415</v>
      </c>
      <c r="R39" s="151">
        <v>41.9</v>
      </c>
      <c r="S39" s="118">
        <v>41.9</v>
      </c>
      <c r="T39" s="119">
        <v>0</v>
      </c>
      <c r="U39" s="100">
        <v>40.4</v>
      </c>
      <c r="V39" s="100">
        <v>41.8</v>
      </c>
      <c r="W39" s="100" t="s">
        <v>415</v>
      </c>
      <c r="X39" s="115">
        <v>55</v>
      </c>
      <c r="Y39" s="100">
        <v>53.7</v>
      </c>
      <c r="Z39" s="100">
        <v>9.5</v>
      </c>
      <c r="AA39" s="100" t="s">
        <v>415</v>
      </c>
      <c r="AB39" s="115">
        <v>0</v>
      </c>
      <c r="AC39" s="100">
        <v>0</v>
      </c>
      <c r="AD39" s="100" t="s">
        <v>415</v>
      </c>
      <c r="AE39" s="115">
        <v>-1.1000000000000001</v>
      </c>
      <c r="AF39" s="118">
        <v>-0.9</v>
      </c>
      <c r="AG39" s="119">
        <v>-0.2</v>
      </c>
      <c r="AH39" s="100">
        <v>0</v>
      </c>
      <c r="AI39" s="100">
        <v>-0.8</v>
      </c>
      <c r="AJ39" s="100" t="s">
        <v>415</v>
      </c>
      <c r="AK39" s="115" t="s">
        <v>416</v>
      </c>
      <c r="AL39" s="118" t="s">
        <v>416</v>
      </c>
      <c r="AM39" s="119" t="s">
        <v>416</v>
      </c>
      <c r="AN39" s="100" t="s">
        <v>416</v>
      </c>
      <c r="AO39" s="100" t="s">
        <v>416</v>
      </c>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row>
    <row r="40" spans="1:205">
      <c r="A40" s="100" t="s">
        <v>564</v>
      </c>
      <c r="B40" s="100" t="s">
        <v>560</v>
      </c>
      <c r="C40" s="100" t="s">
        <v>565</v>
      </c>
      <c r="D40" s="100">
        <v>0</v>
      </c>
      <c r="E40" s="100">
        <v>0</v>
      </c>
      <c r="F40" s="120">
        <v>40538</v>
      </c>
      <c r="G40" s="121">
        <v>0.59027777777777779</v>
      </c>
      <c r="H40" s="100" t="s">
        <v>415</v>
      </c>
      <c r="I40" s="100">
        <v>6</v>
      </c>
      <c r="J40" s="117">
        <v>-6</v>
      </c>
      <c r="K40" s="100">
        <v>20.8</v>
      </c>
      <c r="L40" s="100">
        <v>21</v>
      </c>
      <c r="M40" s="100" t="s">
        <v>415</v>
      </c>
      <c r="N40" s="115">
        <v>0</v>
      </c>
      <c r="O40" s="118">
        <v>0</v>
      </c>
      <c r="P40" s="119">
        <v>0</v>
      </c>
      <c r="Q40" s="100" t="s">
        <v>415</v>
      </c>
      <c r="R40" s="151">
        <v>54.7</v>
      </c>
      <c r="S40" s="118">
        <v>43.2</v>
      </c>
      <c r="T40" s="119">
        <v>11.5</v>
      </c>
      <c r="U40" s="100">
        <v>100.7</v>
      </c>
      <c r="V40" s="100">
        <v>25.7</v>
      </c>
      <c r="W40" s="100" t="s">
        <v>415</v>
      </c>
      <c r="X40" s="115">
        <v>57</v>
      </c>
      <c r="Y40" s="100">
        <v>50.1</v>
      </c>
      <c r="Z40" s="100">
        <v>18.2</v>
      </c>
      <c r="AA40" s="100" t="s">
        <v>415</v>
      </c>
      <c r="AB40" s="115">
        <v>0</v>
      </c>
      <c r="AC40" s="100">
        <v>0</v>
      </c>
      <c r="AD40" s="100" t="s">
        <v>415</v>
      </c>
      <c r="AE40" s="115">
        <v>0</v>
      </c>
      <c r="AF40" s="118">
        <v>0</v>
      </c>
      <c r="AG40" s="119">
        <v>0</v>
      </c>
      <c r="AH40" s="100">
        <v>0</v>
      </c>
      <c r="AI40" s="100">
        <v>0</v>
      </c>
      <c r="AJ40" s="100" t="s">
        <v>415</v>
      </c>
      <c r="AK40" s="115" t="s">
        <v>416</v>
      </c>
      <c r="AL40" s="118" t="s">
        <v>416</v>
      </c>
      <c r="AM40" s="119" t="s">
        <v>416</v>
      </c>
      <c r="AN40" s="100" t="s">
        <v>416</v>
      </c>
      <c r="AO40" s="100" t="s">
        <v>639</v>
      </c>
      <c r="AP40" s="155"/>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row>
    <row r="41" spans="1:205">
      <c r="A41" s="100" t="s">
        <v>584</v>
      </c>
      <c r="B41" s="100" t="s">
        <v>560</v>
      </c>
      <c r="C41" s="100" t="s">
        <v>585</v>
      </c>
      <c r="D41" s="100">
        <v>0</v>
      </c>
      <c r="E41" s="100">
        <v>0</v>
      </c>
      <c r="F41" s="120">
        <v>40538</v>
      </c>
      <c r="G41" s="121">
        <v>0.59027777777777779</v>
      </c>
      <c r="H41" s="100" t="s">
        <v>415</v>
      </c>
      <c r="I41" s="100">
        <v>5</v>
      </c>
      <c r="J41" s="117">
        <v>-6</v>
      </c>
      <c r="K41" s="100">
        <v>21.4</v>
      </c>
      <c r="L41" s="100">
        <v>39.5</v>
      </c>
      <c r="M41" s="100" t="s">
        <v>415</v>
      </c>
      <c r="N41" s="115">
        <v>0</v>
      </c>
      <c r="O41" s="118">
        <v>0</v>
      </c>
      <c r="P41" s="119">
        <v>0</v>
      </c>
      <c r="Q41" s="100" t="s">
        <v>415</v>
      </c>
      <c r="R41" s="151">
        <v>52</v>
      </c>
      <c r="S41" s="118">
        <v>40.4</v>
      </c>
      <c r="T41" s="119">
        <v>11.6</v>
      </c>
      <c r="U41" s="100">
        <v>114.4</v>
      </c>
      <c r="V41" s="100">
        <v>38.200000000000003</v>
      </c>
      <c r="W41" s="100" t="s">
        <v>415</v>
      </c>
      <c r="X41" s="115">
        <v>57.6</v>
      </c>
      <c r="Y41" s="100">
        <v>45.8</v>
      </c>
      <c r="Z41" s="100">
        <v>20.8</v>
      </c>
      <c r="AA41" s="100" t="s">
        <v>415</v>
      </c>
      <c r="AB41" s="115">
        <v>0</v>
      </c>
      <c r="AC41" s="100">
        <v>0</v>
      </c>
      <c r="AD41" s="100" t="s">
        <v>415</v>
      </c>
      <c r="AE41" s="115">
        <v>0</v>
      </c>
      <c r="AF41" s="118">
        <v>0</v>
      </c>
      <c r="AG41" s="119">
        <v>0</v>
      </c>
      <c r="AH41" s="100">
        <v>0</v>
      </c>
      <c r="AI41" s="100">
        <v>0</v>
      </c>
      <c r="AJ41" s="100" t="s">
        <v>415</v>
      </c>
      <c r="AK41" s="115" t="s">
        <v>416</v>
      </c>
      <c r="AL41" s="118" t="s">
        <v>416</v>
      </c>
      <c r="AM41" s="119" t="s">
        <v>416</v>
      </c>
      <c r="AN41" s="100" t="s">
        <v>416</v>
      </c>
      <c r="AO41" s="100" t="s">
        <v>640</v>
      </c>
      <c r="AP41" s="155"/>
      <c r="AQ41" s="155"/>
      <c r="AR41"/>
      <c r="AS41"/>
      <c r="AT41" s="156"/>
      <c r="AU41" s="155"/>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row>
    <row r="42" spans="1:205">
      <c r="A42" s="100" t="s">
        <v>586</v>
      </c>
      <c r="B42" s="100" t="s">
        <v>560</v>
      </c>
      <c r="C42" s="100" t="s">
        <v>587</v>
      </c>
      <c r="D42" s="100">
        <v>0</v>
      </c>
      <c r="E42" s="100">
        <v>0</v>
      </c>
      <c r="F42" s="120">
        <v>40538</v>
      </c>
      <c r="G42" s="121">
        <v>0.59027777777777779</v>
      </c>
      <c r="H42" s="100" t="s">
        <v>415</v>
      </c>
      <c r="I42" s="100">
        <v>8</v>
      </c>
      <c r="J42" s="117">
        <v>-4.8</v>
      </c>
      <c r="K42" s="100">
        <v>23</v>
      </c>
      <c r="L42" s="100">
        <v>23</v>
      </c>
      <c r="M42" s="100" t="s">
        <v>415</v>
      </c>
      <c r="N42" s="115">
        <v>0</v>
      </c>
      <c r="O42" s="118">
        <v>0</v>
      </c>
      <c r="P42" s="119">
        <v>0</v>
      </c>
      <c r="Q42" s="100" t="s">
        <v>415</v>
      </c>
      <c r="R42" s="151">
        <v>54.2</v>
      </c>
      <c r="S42" s="118">
        <v>43.9</v>
      </c>
      <c r="T42" s="119">
        <v>10.3</v>
      </c>
      <c r="U42" s="100">
        <v>86.6</v>
      </c>
      <c r="V42" s="100">
        <v>36.700000000000003</v>
      </c>
      <c r="W42" s="100" t="s">
        <v>415</v>
      </c>
      <c r="X42" s="115">
        <v>57.6</v>
      </c>
      <c r="Y42" s="100">
        <v>34.4</v>
      </c>
      <c r="Z42" s="100">
        <v>24.8</v>
      </c>
      <c r="AA42" s="100" t="s">
        <v>415</v>
      </c>
      <c r="AB42" s="115">
        <v>0</v>
      </c>
      <c r="AC42" s="100">
        <v>0</v>
      </c>
      <c r="AD42" s="100" t="s">
        <v>415</v>
      </c>
      <c r="AE42" s="115">
        <v>0</v>
      </c>
      <c r="AF42" s="118">
        <v>0</v>
      </c>
      <c r="AG42" s="119">
        <v>0</v>
      </c>
      <c r="AH42" s="100">
        <v>0</v>
      </c>
      <c r="AI42" s="100">
        <v>0</v>
      </c>
      <c r="AJ42" s="100" t="s">
        <v>415</v>
      </c>
      <c r="AK42" s="115" t="s">
        <v>416</v>
      </c>
      <c r="AL42" s="118" t="s">
        <v>416</v>
      </c>
      <c r="AM42" s="119" t="s">
        <v>416</v>
      </c>
      <c r="AN42" s="100" t="s">
        <v>416</v>
      </c>
      <c r="AO42" s="100">
        <f>---0</f>
        <v>0</v>
      </c>
      <c r="AP42" s="155">
        <v>0</v>
      </c>
      <c r="AQ42" s="155">
        <v>0</v>
      </c>
      <c r="AR42" s="155">
        <v>0</v>
      </c>
      <c r="AS42" s="155" t="s">
        <v>415</v>
      </c>
      <c r="AT42" s="155" t="s">
        <v>416</v>
      </c>
      <c r="AU42" s="155" t="s">
        <v>416</v>
      </c>
      <c r="AV42" t="s">
        <v>416</v>
      </c>
      <c r="AW42" t="s">
        <v>416</v>
      </c>
      <c r="AX42">
        <f>----0</f>
        <v>0</v>
      </c>
      <c r="AY42" t="s">
        <v>415</v>
      </c>
      <c r="AZ42" t="s">
        <v>416</v>
      </c>
      <c r="BA42" t="s">
        <v>416</v>
      </c>
      <c r="BB42" t="s">
        <v>416</v>
      </c>
      <c r="BC42" t="s">
        <v>416</v>
      </c>
      <c r="BD42">
        <f>----84.4</f>
        <v>84.4</v>
      </c>
      <c r="BE42">
        <v>44.7</v>
      </c>
      <c r="BF42" t="s">
        <v>415</v>
      </c>
      <c r="BG42">
        <v>57</v>
      </c>
      <c r="BH42">
        <v>48.3</v>
      </c>
      <c r="BI42">
        <v>11</v>
      </c>
      <c r="BJ42" t="s">
        <v>415</v>
      </c>
      <c r="BK42">
        <v>0</v>
      </c>
      <c r="BL42">
        <v>0</v>
      </c>
      <c r="BM42" t="s">
        <v>415</v>
      </c>
      <c r="BN42">
        <v>0</v>
      </c>
      <c r="BO42">
        <v>0</v>
      </c>
      <c r="BP42">
        <v>0</v>
      </c>
      <c r="BQ42">
        <v>0</v>
      </c>
      <c r="BR42">
        <v>0</v>
      </c>
      <c r="BS42" t="s">
        <v>415</v>
      </c>
      <c r="BT42" t="s">
        <v>416</v>
      </c>
      <c r="BU42" t="s">
        <v>416</v>
      </c>
      <c r="BV42" t="s">
        <v>416</v>
      </c>
      <c r="BW42" t="s">
        <v>416</v>
      </c>
      <c r="BX42" t="s">
        <v>638</v>
      </c>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row>
    <row r="58" spans="1:4">
      <c r="A58" s="97" t="s">
        <v>457</v>
      </c>
    </row>
    <row r="59" spans="1:4">
      <c r="A59" s="74" t="s">
        <v>482</v>
      </c>
      <c r="B59" s="6"/>
      <c r="D59" s="4" t="s">
        <v>483</v>
      </c>
    </row>
    <row r="60" spans="1:4">
      <c r="A60" s="74" t="s">
        <v>484</v>
      </c>
      <c r="B60" s="2"/>
      <c r="D60" s="4" t="s">
        <v>485</v>
      </c>
    </row>
    <row r="62" spans="1:4">
      <c r="A62" s="142" t="s">
        <v>486</v>
      </c>
      <c r="B62" s="142"/>
      <c r="C62" s="142" t="s">
        <v>487</v>
      </c>
    </row>
    <row r="63" spans="1:4">
      <c r="A63" s="143" t="s">
        <v>35</v>
      </c>
      <c r="B63" s="143"/>
      <c r="C63" s="143" t="s">
        <v>488</v>
      </c>
    </row>
    <row r="64" spans="1:4">
      <c r="A64" s="143" t="s">
        <v>407</v>
      </c>
      <c r="B64" s="143"/>
      <c r="C64" s="143" t="s">
        <v>407</v>
      </c>
    </row>
    <row r="65" spans="1:3">
      <c r="A65" s="143" t="s">
        <v>450</v>
      </c>
      <c r="B65" s="143"/>
      <c r="C65" s="143" t="s">
        <v>489</v>
      </c>
    </row>
    <row r="66" spans="1:3">
      <c r="A66" s="143" t="s">
        <v>520</v>
      </c>
      <c r="B66" s="143"/>
      <c r="C66" s="143" t="s">
        <v>490</v>
      </c>
    </row>
    <row r="67" spans="1:3">
      <c r="A67" s="143" t="s">
        <v>34</v>
      </c>
      <c r="B67" s="143"/>
      <c r="C67" s="143" t="s">
        <v>491</v>
      </c>
    </row>
    <row r="68" spans="1:3">
      <c r="A68" s="143" t="s">
        <v>409</v>
      </c>
      <c r="B68" s="143"/>
      <c r="C68" s="143" t="s">
        <v>409</v>
      </c>
    </row>
    <row r="69" spans="1:3">
      <c r="A69" s="143" t="s">
        <v>410</v>
      </c>
      <c r="B69" s="143"/>
      <c r="C69" s="143" t="s">
        <v>492</v>
      </c>
    </row>
    <row r="70" spans="1:3">
      <c r="A70" s="143"/>
      <c r="B70" s="143"/>
      <c r="C70" s="143"/>
    </row>
    <row r="71" spans="1:3">
      <c r="A71" s="143" t="s">
        <v>493</v>
      </c>
      <c r="B71" s="143"/>
      <c r="C71" s="143" t="s">
        <v>494</v>
      </c>
    </row>
    <row r="72" spans="1:3">
      <c r="A72" s="143" t="s">
        <v>411</v>
      </c>
      <c r="B72" s="143"/>
      <c r="C72" s="143" t="s">
        <v>495</v>
      </c>
    </row>
    <row r="73" spans="1:3">
      <c r="A73" s="143" t="s">
        <v>412</v>
      </c>
      <c r="B73" s="143"/>
      <c r="C73" s="143" t="s">
        <v>496</v>
      </c>
    </row>
    <row r="74" spans="1:3">
      <c r="A74" s="143" t="s">
        <v>413</v>
      </c>
      <c r="B74" s="143"/>
      <c r="C74" s="143" t="s">
        <v>497</v>
      </c>
    </row>
    <row r="75" spans="1:3">
      <c r="A75" s="143"/>
      <c r="B75" s="143"/>
      <c r="C75" s="143"/>
    </row>
    <row r="76" spans="1:3">
      <c r="A76" s="143" t="s">
        <v>498</v>
      </c>
      <c r="B76" s="143"/>
      <c r="C76" s="143" t="s">
        <v>499</v>
      </c>
    </row>
    <row r="77" spans="1:3">
      <c r="A77" s="143" t="s">
        <v>500</v>
      </c>
      <c r="B77" s="143"/>
      <c r="C77" s="143" t="s">
        <v>501</v>
      </c>
    </row>
    <row r="78" spans="1:3">
      <c r="A78" s="143" t="s">
        <v>502</v>
      </c>
      <c r="B78" s="143"/>
      <c r="C78" s="143" t="s">
        <v>503</v>
      </c>
    </row>
    <row r="79" spans="1:3">
      <c r="A79" s="143"/>
      <c r="B79" s="143"/>
      <c r="C79" s="143"/>
    </row>
    <row r="80" spans="1:3">
      <c r="A80" s="143" t="s">
        <v>504</v>
      </c>
      <c r="B80" s="143"/>
      <c r="C80" s="143" t="s">
        <v>505</v>
      </c>
    </row>
    <row r="81" spans="1:3">
      <c r="A81" s="143" t="s">
        <v>506</v>
      </c>
      <c r="B81" s="143"/>
      <c r="C81" s="143" t="s">
        <v>507</v>
      </c>
    </row>
    <row r="82" spans="1:3">
      <c r="A82" s="143" t="s">
        <v>508</v>
      </c>
      <c r="B82" s="143"/>
      <c r="C82" s="143" t="s">
        <v>509</v>
      </c>
    </row>
    <row r="83" spans="1:3">
      <c r="A83" s="143" t="s">
        <v>510</v>
      </c>
      <c r="B83" s="143"/>
      <c r="C83" s="143" t="s">
        <v>511</v>
      </c>
    </row>
    <row r="84" spans="1:3">
      <c r="A84" s="143" t="s">
        <v>512</v>
      </c>
      <c r="B84" s="143"/>
      <c r="C84" s="143" t="s">
        <v>513</v>
      </c>
    </row>
    <row r="85" spans="1:3">
      <c r="A85" s="143"/>
      <c r="B85" s="143"/>
      <c r="C85" s="143"/>
    </row>
    <row r="86" spans="1:3">
      <c r="A86" s="143" t="s">
        <v>9</v>
      </c>
      <c r="B86" s="143"/>
      <c r="C86" s="143" t="s">
        <v>514</v>
      </c>
    </row>
    <row r="87" spans="1:3">
      <c r="A87" s="143" t="s">
        <v>414</v>
      </c>
      <c r="B87" s="143"/>
      <c r="C87" s="143" t="s">
        <v>515</v>
      </c>
    </row>
    <row r="88" spans="1:3">
      <c r="A88" s="143" t="s">
        <v>516</v>
      </c>
      <c r="B88" s="143"/>
      <c r="C88" s="143" t="s">
        <v>517</v>
      </c>
    </row>
    <row r="89" spans="1:3">
      <c r="A89" s="143"/>
      <c r="B89" s="143"/>
      <c r="C89" s="143"/>
    </row>
    <row r="90" spans="1:3">
      <c r="A90" s="143" t="s">
        <v>408</v>
      </c>
      <c r="B90" s="143"/>
      <c r="C90" s="143" t="s">
        <v>518</v>
      </c>
    </row>
    <row r="91" spans="1:3">
      <c r="A91" s="143" t="s">
        <v>2</v>
      </c>
      <c r="B91" s="143"/>
      <c r="C91" s="143" t="s">
        <v>519</v>
      </c>
    </row>
  </sheetData>
  <phoneticPr fontId="3" type="noConversion"/>
  <hyperlinks>
    <hyperlink ref="D1" location="Webblänkar!A1" display="Webb-länkar"/>
  </hyperlinks>
  <pageMargins left="0.75" right="0.75" top="1" bottom="1" header="0.5" footer="0.5"/>
  <pageSetup paperSize="9" orientation="landscape" horizontalDpi="96" verticalDpi="96" r:id="rId1"/>
  <headerFooter alignWithMargins="0"/>
</worksheet>
</file>

<file path=xl/worksheets/sheet2.xml><?xml version="1.0" encoding="utf-8"?>
<worksheet xmlns="http://schemas.openxmlformats.org/spreadsheetml/2006/main" xmlns:r="http://schemas.openxmlformats.org/officeDocument/2006/relationships">
  <dimension ref="A1:Q78"/>
  <sheetViews>
    <sheetView zoomScale="85" zoomScaleNormal="85" workbookViewId="0">
      <pane xSplit="2" ySplit="4" topLeftCell="C38" activePane="bottomRight" state="frozen"/>
      <selection pane="topRight" activeCell="C1" sqref="C1"/>
      <selection pane="bottomLeft" activeCell="A5" sqref="A5"/>
      <selection pane="bottomRight" activeCell="C46" sqref="C46"/>
    </sheetView>
  </sheetViews>
  <sheetFormatPr defaultRowHeight="20.100000000000001" customHeight="1"/>
  <cols>
    <col min="1" max="1" width="9.140625" style="4"/>
    <col min="2" max="2" width="23.28515625" style="2" customWidth="1"/>
    <col min="3" max="3" width="8" style="4" customWidth="1"/>
    <col min="4" max="4" width="8.85546875" style="4" customWidth="1"/>
    <col min="5" max="5" width="12.140625" style="4" customWidth="1"/>
    <col min="6" max="6" width="12.7109375" style="4" customWidth="1"/>
    <col min="7" max="7" width="10.42578125" style="4" customWidth="1"/>
    <col min="8" max="8" width="13.28515625" style="4" customWidth="1"/>
    <col min="9" max="9" width="9.42578125" style="4" customWidth="1"/>
    <col min="10" max="10" width="8" style="4" customWidth="1"/>
    <col min="11" max="11" width="8.42578125" style="4" customWidth="1"/>
    <col min="12" max="12" width="6.85546875" style="4" customWidth="1"/>
    <col min="13" max="13" width="15.7109375" style="4" customWidth="1"/>
    <col min="14" max="14" width="7.5703125" style="2" customWidth="1"/>
    <col min="15" max="15" width="17" style="4" customWidth="1"/>
    <col min="16" max="16" width="15.7109375" style="4" customWidth="1"/>
    <col min="17" max="16384" width="9.140625" style="75"/>
  </cols>
  <sheetData>
    <row r="1" spans="1:16" s="138" customFormat="1" ht="33" customHeight="1">
      <c r="A1" s="130" t="s">
        <v>480</v>
      </c>
      <c r="B1" s="131"/>
      <c r="C1" s="130" t="s">
        <v>32</v>
      </c>
      <c r="D1" s="132"/>
      <c r="E1" s="132"/>
      <c r="F1" s="132"/>
      <c r="G1" s="132"/>
      <c r="H1" s="132"/>
      <c r="I1" s="132"/>
      <c r="J1" s="132"/>
      <c r="K1" s="132"/>
      <c r="L1" s="132"/>
      <c r="M1" s="132"/>
      <c r="N1" s="131"/>
      <c r="O1" s="132"/>
      <c r="P1" s="132"/>
    </row>
    <row r="2" spans="1:16" ht="29.25" customHeight="1">
      <c r="A2" s="124" t="s">
        <v>451</v>
      </c>
      <c r="B2" s="127"/>
      <c r="C2" s="129" t="s">
        <v>481</v>
      </c>
      <c r="D2" s="128"/>
      <c r="E2" s="128"/>
      <c r="F2" s="128"/>
      <c r="G2" s="128"/>
      <c r="H2" s="140" t="s">
        <v>207</v>
      </c>
      <c r="I2" s="125"/>
      <c r="J2" s="141" t="s">
        <v>458</v>
      </c>
      <c r="K2" s="125"/>
      <c r="L2" s="125"/>
      <c r="M2" s="128"/>
      <c r="N2" s="126"/>
      <c r="O2" s="128"/>
      <c r="P2" s="128"/>
    </row>
    <row r="3" spans="1:16" s="139" customFormat="1" ht="63">
      <c r="A3" s="133" t="s">
        <v>35</v>
      </c>
      <c r="B3" s="134" t="s">
        <v>36</v>
      </c>
      <c r="C3" s="135" t="s">
        <v>1</v>
      </c>
      <c r="D3" s="136" t="s">
        <v>10</v>
      </c>
      <c r="E3" s="136" t="s">
        <v>292</v>
      </c>
      <c r="F3" s="136" t="s">
        <v>293</v>
      </c>
      <c r="G3" s="136" t="s">
        <v>294</v>
      </c>
      <c r="H3" s="136" t="s">
        <v>295</v>
      </c>
      <c r="I3" s="135" t="s">
        <v>3</v>
      </c>
      <c r="J3" s="135" t="s">
        <v>4</v>
      </c>
      <c r="K3" s="135" t="s">
        <v>5</v>
      </c>
      <c r="L3" s="136" t="s">
        <v>319</v>
      </c>
      <c r="M3" s="135" t="s">
        <v>151</v>
      </c>
      <c r="N3" s="137" t="s">
        <v>34</v>
      </c>
      <c r="O3" s="136" t="s">
        <v>154</v>
      </c>
      <c r="P3" s="135" t="s">
        <v>228</v>
      </c>
    </row>
    <row r="4" spans="1:16" s="139" customFormat="1" ht="12.75">
      <c r="A4" s="7"/>
      <c r="B4" s="7" t="s">
        <v>286</v>
      </c>
      <c r="C4" s="72" t="s">
        <v>280</v>
      </c>
      <c r="D4" s="72" t="s">
        <v>280</v>
      </c>
      <c r="E4" s="73" t="s">
        <v>281</v>
      </c>
      <c r="F4" s="73" t="s">
        <v>281</v>
      </c>
      <c r="G4" s="73" t="s">
        <v>281</v>
      </c>
      <c r="H4" s="73" t="s">
        <v>281</v>
      </c>
      <c r="I4" s="73" t="s">
        <v>281</v>
      </c>
      <c r="J4" s="73" t="s">
        <v>281</v>
      </c>
      <c r="K4" s="73" t="s">
        <v>281</v>
      </c>
      <c r="L4" s="72" t="s">
        <v>280</v>
      </c>
      <c r="M4" s="14"/>
      <c r="N4" s="13"/>
      <c r="O4" s="15"/>
      <c r="P4" s="14"/>
    </row>
    <row r="5" spans="1:16" ht="20.100000000000001" customHeight="1">
      <c r="A5" s="40" t="s">
        <v>12</v>
      </c>
      <c r="B5" s="41" t="s">
        <v>30</v>
      </c>
      <c r="C5" s="43" t="s">
        <v>2</v>
      </c>
      <c r="D5" s="43" t="s">
        <v>6</v>
      </c>
      <c r="E5" s="44" t="s">
        <v>296</v>
      </c>
      <c r="F5" s="44" t="s">
        <v>297</v>
      </c>
      <c r="G5" s="44" t="s">
        <v>298</v>
      </c>
      <c r="H5" s="44"/>
      <c r="I5" s="44" t="s">
        <v>7</v>
      </c>
      <c r="J5" s="44" t="s">
        <v>6</v>
      </c>
      <c r="K5" s="43" t="s">
        <v>25</v>
      </c>
      <c r="L5" s="45"/>
      <c r="M5" s="46" t="s">
        <v>155</v>
      </c>
      <c r="N5" s="42">
        <v>2500</v>
      </c>
      <c r="O5" s="55" t="s">
        <v>153</v>
      </c>
      <c r="P5" s="46" t="s">
        <v>233</v>
      </c>
    </row>
    <row r="6" spans="1:16" ht="20.100000000000001" customHeight="1">
      <c r="A6" s="7" t="s">
        <v>13</v>
      </c>
      <c r="B6" t="s">
        <v>146</v>
      </c>
      <c r="C6" s="8" t="s">
        <v>2</v>
      </c>
      <c r="D6" s="8" t="s">
        <v>6</v>
      </c>
      <c r="E6" s="8" t="s">
        <v>299</v>
      </c>
      <c r="F6" s="8" t="s">
        <v>300</v>
      </c>
      <c r="G6" s="98" t="s">
        <v>301</v>
      </c>
      <c r="H6" s="3"/>
      <c r="I6" s="8" t="s">
        <v>7</v>
      </c>
      <c r="J6" s="8" t="s">
        <v>6</v>
      </c>
      <c r="K6" s="8" t="s">
        <v>25</v>
      </c>
      <c r="L6" s="3"/>
      <c r="M6" s="4" t="s">
        <v>147</v>
      </c>
      <c r="N6" s="11">
        <v>13700</v>
      </c>
      <c r="O6" s="4" t="s">
        <v>153</v>
      </c>
      <c r="P6" s="25" t="s">
        <v>232</v>
      </c>
    </row>
    <row r="7" spans="1:16" ht="20.100000000000001" customHeight="1">
      <c r="A7" s="40" t="s">
        <v>14</v>
      </c>
      <c r="B7" s="41" t="s">
        <v>145</v>
      </c>
      <c r="C7" s="43" t="s">
        <v>2</v>
      </c>
      <c r="D7" s="43" t="s">
        <v>6</v>
      </c>
      <c r="E7" s="43" t="s">
        <v>302</v>
      </c>
      <c r="F7" s="43" t="s">
        <v>303</v>
      </c>
      <c r="G7" s="43" t="s">
        <v>304</v>
      </c>
      <c r="H7" s="45"/>
      <c r="I7" s="43" t="s">
        <v>7</v>
      </c>
      <c r="J7" s="43" t="s">
        <v>6</v>
      </c>
      <c r="K7" s="43" t="s">
        <v>25</v>
      </c>
      <c r="L7" s="43" t="s">
        <v>11</v>
      </c>
      <c r="M7" s="46" t="s">
        <v>148</v>
      </c>
      <c r="N7" s="42">
        <v>4000</v>
      </c>
      <c r="O7" s="46" t="s">
        <v>153</v>
      </c>
      <c r="P7" s="46" t="s">
        <v>234</v>
      </c>
    </row>
    <row r="8" spans="1:16" ht="20.100000000000001" customHeight="1">
      <c r="A8" s="7" t="s">
        <v>15</v>
      </c>
      <c r="B8" t="s">
        <v>150</v>
      </c>
      <c r="C8" s="8" t="s">
        <v>2</v>
      </c>
      <c r="D8" s="8" t="s">
        <v>6</v>
      </c>
      <c r="E8" s="1" t="s">
        <v>9</v>
      </c>
      <c r="F8" s="1" t="s">
        <v>8</v>
      </c>
      <c r="G8" s="5" t="s">
        <v>168</v>
      </c>
      <c r="H8" s="5" t="s">
        <v>167</v>
      </c>
      <c r="I8" s="1" t="s">
        <v>7</v>
      </c>
      <c r="J8" s="1" t="s">
        <v>6</v>
      </c>
      <c r="K8" s="8" t="s">
        <v>25</v>
      </c>
      <c r="L8" s="8" t="s">
        <v>11</v>
      </c>
      <c r="M8" s="4" t="s">
        <v>149</v>
      </c>
      <c r="N8" s="11">
        <v>2500</v>
      </c>
      <c r="O8" s="4" t="s">
        <v>153</v>
      </c>
      <c r="P8" s="4" t="s">
        <v>234</v>
      </c>
    </row>
    <row r="9" spans="1:16" ht="20.100000000000001" customHeight="1">
      <c r="A9" s="40" t="s">
        <v>152</v>
      </c>
      <c r="B9" s="41" t="s">
        <v>633</v>
      </c>
      <c r="C9" s="43" t="s">
        <v>2</v>
      </c>
      <c r="D9" s="43" t="s">
        <v>6</v>
      </c>
      <c r="E9" s="43" t="s">
        <v>9</v>
      </c>
      <c r="F9" s="43" t="s">
        <v>393</v>
      </c>
      <c r="G9" s="44"/>
      <c r="H9" s="44"/>
      <c r="I9" s="43" t="s">
        <v>7</v>
      </c>
      <c r="J9" s="43" t="s">
        <v>6</v>
      </c>
      <c r="K9" s="43" t="s">
        <v>25</v>
      </c>
      <c r="L9" s="43" t="s">
        <v>11</v>
      </c>
      <c r="M9" s="41" t="s">
        <v>135</v>
      </c>
      <c r="N9" s="42"/>
      <c r="O9" s="46" t="s">
        <v>153</v>
      </c>
      <c r="P9" s="46"/>
    </row>
    <row r="10" spans="1:16" ht="20.100000000000001" customHeight="1">
      <c r="A10" s="7" t="s">
        <v>16</v>
      </c>
      <c r="B10" t="s">
        <v>29</v>
      </c>
      <c r="C10" s="8" t="s">
        <v>2</v>
      </c>
      <c r="D10" s="8" t="s">
        <v>6</v>
      </c>
      <c r="E10" s="1" t="s">
        <v>302</v>
      </c>
      <c r="F10" s="8" t="s">
        <v>305</v>
      </c>
      <c r="G10" s="3"/>
      <c r="H10" s="3"/>
      <c r="I10" s="1" t="s">
        <v>7</v>
      </c>
      <c r="J10" s="1" t="s">
        <v>6</v>
      </c>
      <c r="K10" s="8" t="s">
        <v>25</v>
      </c>
      <c r="L10" s="3"/>
      <c r="M10" s="4" t="s">
        <v>156</v>
      </c>
      <c r="N10" s="11">
        <v>4200</v>
      </c>
      <c r="O10" s="6" t="s">
        <v>173</v>
      </c>
      <c r="P10" s="25" t="s">
        <v>229</v>
      </c>
    </row>
    <row r="11" spans="1:16" ht="20.100000000000001" customHeight="1">
      <c r="A11" s="40" t="s">
        <v>17</v>
      </c>
      <c r="B11" s="41" t="s">
        <v>28</v>
      </c>
      <c r="C11" s="43" t="s">
        <v>2</v>
      </c>
      <c r="D11" s="43" t="s">
        <v>6</v>
      </c>
      <c r="E11" s="43" t="s">
        <v>306</v>
      </c>
      <c r="F11" s="43" t="s">
        <v>307</v>
      </c>
      <c r="G11" s="44"/>
      <c r="H11" s="44"/>
      <c r="I11" s="43" t="s">
        <v>7</v>
      </c>
      <c r="J11" s="43" t="s">
        <v>6</v>
      </c>
      <c r="K11" s="43" t="s">
        <v>25</v>
      </c>
      <c r="L11" s="45"/>
      <c r="M11" s="46" t="s">
        <v>170</v>
      </c>
      <c r="N11" s="42">
        <v>6170</v>
      </c>
      <c r="O11" s="46" t="s">
        <v>153</v>
      </c>
      <c r="P11" s="46" t="s">
        <v>230</v>
      </c>
    </row>
    <row r="12" spans="1:16" ht="20.100000000000001" customHeight="1">
      <c r="A12" s="7" t="s">
        <v>18</v>
      </c>
      <c r="B12" t="s">
        <v>27</v>
      </c>
      <c r="C12" s="8" t="s">
        <v>2</v>
      </c>
      <c r="D12" s="8" t="s">
        <v>6</v>
      </c>
      <c r="E12" s="1" t="s">
        <v>308</v>
      </c>
      <c r="F12" s="8" t="s">
        <v>309</v>
      </c>
      <c r="G12" s="1"/>
      <c r="H12" s="1"/>
      <c r="I12" s="1" t="s">
        <v>7</v>
      </c>
      <c r="J12" s="1" t="s">
        <v>6</v>
      </c>
      <c r="K12" s="8" t="s">
        <v>25</v>
      </c>
      <c r="L12" s="3"/>
      <c r="M12" s="4" t="s">
        <v>169</v>
      </c>
      <c r="N12" s="11">
        <v>1781</v>
      </c>
      <c r="O12" s="4" t="s">
        <v>153</v>
      </c>
      <c r="P12" s="25" t="s">
        <v>230</v>
      </c>
    </row>
    <row r="13" spans="1:16" ht="20.100000000000001" customHeight="1">
      <c r="A13" s="40" t="s">
        <v>64</v>
      </c>
      <c r="B13" s="41" t="s">
        <v>65</v>
      </c>
      <c r="C13" s="43" t="s">
        <v>2</v>
      </c>
      <c r="D13" s="43" t="s">
        <v>6</v>
      </c>
      <c r="E13" s="43" t="s">
        <v>310</v>
      </c>
      <c r="F13" s="43" t="s">
        <v>300</v>
      </c>
      <c r="G13" s="43" t="s">
        <v>311</v>
      </c>
      <c r="H13" s="44"/>
      <c r="I13" s="43" t="s">
        <v>7</v>
      </c>
      <c r="J13" s="43" t="s">
        <v>6</v>
      </c>
      <c r="K13" s="43" t="s">
        <v>25</v>
      </c>
      <c r="L13" s="45"/>
      <c r="M13" s="46" t="s">
        <v>157</v>
      </c>
      <c r="N13" s="42">
        <v>13300</v>
      </c>
      <c r="O13" s="46" t="s">
        <v>153</v>
      </c>
      <c r="P13" s="46" t="s">
        <v>232</v>
      </c>
    </row>
    <row r="14" spans="1:16" ht="20.100000000000001" customHeight="1">
      <c r="A14" s="7" t="s">
        <v>66</v>
      </c>
      <c r="B14" t="s">
        <v>67</v>
      </c>
      <c r="C14" s="8" t="s">
        <v>2</v>
      </c>
      <c r="D14" s="8" t="s">
        <v>6</v>
      </c>
      <c r="E14" s="1" t="s">
        <v>312</v>
      </c>
      <c r="F14" s="1" t="s">
        <v>313</v>
      </c>
      <c r="G14" s="1"/>
      <c r="H14" s="1"/>
      <c r="I14" s="8" t="s">
        <v>7</v>
      </c>
      <c r="J14" s="8" t="s">
        <v>6</v>
      </c>
      <c r="K14" s="8" t="s">
        <v>25</v>
      </c>
      <c r="L14" s="3"/>
      <c r="M14" s="4" t="s">
        <v>158</v>
      </c>
      <c r="N14" s="11">
        <v>3500</v>
      </c>
      <c r="O14" s="4" t="s">
        <v>153</v>
      </c>
      <c r="P14" s="25" t="s">
        <v>229</v>
      </c>
    </row>
    <row r="15" spans="1:16" ht="20.100000000000001" customHeight="1">
      <c r="A15" s="40" t="s">
        <v>160</v>
      </c>
      <c r="B15" s="41" t="s">
        <v>162</v>
      </c>
      <c r="C15" s="43" t="str">
        <f>HYPERLINK("http://vas_sth11a.iqheat.com", "Flöde")</f>
        <v>Flöde</v>
      </c>
      <c r="D15" s="43" t="str">
        <f>HYPERLINK("http://vas_sth11a.iqheat.com/Report100/default.htm", "Historik")</f>
        <v>Historik</v>
      </c>
      <c r="E15" s="43" t="str">
        <f>HYPERLINK("http://vas_sth11a.iqheat.com/rw-access/dhw.asp", "TappVV 179")</f>
        <v>TappVV 179</v>
      </c>
      <c r="F15" s="43" t="str">
        <f>HYPERLINK("http://vas_sth11a.iqheat.com/rw-access/heat1.asp", "Rad 820")</f>
        <v>Rad 820</v>
      </c>
      <c r="G15" s="43"/>
      <c r="H15" s="44"/>
      <c r="I15" s="43" t="str">
        <f>HYPERLINK("http://vas_sth11a.iqheat.com/rw-access/alarmlist.asp", "Okvitterad")</f>
        <v>Okvitterad</v>
      </c>
      <c r="J15" s="43" t="str">
        <f>HYPERLINK("http://vas_sth11a.iqheat.com/rw-access/alarmhist.asp", "Kvitterad")</f>
        <v>Kvitterad</v>
      </c>
      <c r="K15" s="43" t="str">
        <f>HYPERLINK("http://vas_sth11a.iqheat.com/rw-access/alarmsetup.asp", "Gränser")</f>
        <v>Gränser</v>
      </c>
      <c r="L15" s="43" t="str">
        <f>HYPERLINK("http://vas_sth11a.iqheat.com/Report200/default.htm", "Energi")</f>
        <v>Energi</v>
      </c>
      <c r="M15" s="46" t="s">
        <v>164</v>
      </c>
      <c r="N15" s="42"/>
      <c r="O15" s="46" t="s">
        <v>166</v>
      </c>
      <c r="P15" s="46" t="s">
        <v>230</v>
      </c>
    </row>
    <row r="16" spans="1:16" ht="20.100000000000001" customHeight="1">
      <c r="A16" s="7" t="s">
        <v>161</v>
      </c>
      <c r="B16" t="s">
        <v>163</v>
      </c>
      <c r="C16" s="149" t="str">
        <f>HYPERLINK("http://vas_sth11b.iqheat.com", "Flöde")</f>
        <v>Flöde</v>
      </c>
      <c r="D16" s="149" t="str">
        <f>HYPERLINK("http://vas_sth11b.iqheat.com/Report100/default.htm", "Historik")</f>
        <v>Historik</v>
      </c>
      <c r="E16" s="8" t="str">
        <f>HYPERLINK("http://vas_sth11b.iqheat.com/rw-access/dhw.asp", "TappVV 179")</f>
        <v>TappVV 179</v>
      </c>
      <c r="F16" s="8" t="str">
        <f>HYPERLINK("http://vas_sth11b.iqheat.com/rw-access/heat1.asp", "Rad 820")</f>
        <v>Rad 820</v>
      </c>
      <c r="G16" s="8"/>
      <c r="H16" s="1"/>
      <c r="I16" s="8" t="str">
        <f>HYPERLINK("http://vas_sth11b.iqheat.com/rw-access/alarmlist.asp", "Okvitterad")</f>
        <v>Okvitterad</v>
      </c>
      <c r="J16" s="8" t="str">
        <f>HYPERLINK("http://vas_sth11b.iqheat.com/rw-access/alarmhist.asp", "Kvitterad")</f>
        <v>Kvitterad</v>
      </c>
      <c r="K16" s="8" t="str">
        <f>HYPERLINK("http://vas_sth11b.iqheat.com/rw-access/alarmsetup.asp", "Gränser")</f>
        <v>Gränser</v>
      </c>
      <c r="L16" s="8" t="str">
        <f>HYPERLINK("http://vas_sth11b.iqheat.com/Report200/default.htm", "Energi")</f>
        <v>Energi</v>
      </c>
      <c r="M16" s="4" t="s">
        <v>165</v>
      </c>
      <c r="N16" s="11"/>
      <c r="O16" s="4" t="s">
        <v>166</v>
      </c>
      <c r="P16" s="25" t="s">
        <v>230</v>
      </c>
    </row>
    <row r="17" spans="1:16" ht="20.100000000000001" customHeight="1">
      <c r="A17" s="40" t="s">
        <v>191</v>
      </c>
      <c r="B17" s="41" t="s">
        <v>105</v>
      </c>
      <c r="C17" s="43" t="str">
        <f>HYPERLINK("http://vas_sth12.iqheat.com", "Flöde")</f>
        <v>Flöde</v>
      </c>
      <c r="D17" s="43" t="str">
        <f>HYPERLINK("http://vas_sth12.iqheat.com/Report100/default.htm", "Historik")</f>
        <v>Historik</v>
      </c>
      <c r="E17" s="43" t="str">
        <f>HYPERLINK("http://vas_sth12.iqheat.com/rw-access/dhw.asp", "TappVV 188")</f>
        <v>TappVV 188</v>
      </c>
      <c r="F17" s="43" t="str">
        <f>HYPERLINK("http://vas_sth12.iqheat.com/rw-access/heat1.asp", "Rad 270")</f>
        <v>Rad 270</v>
      </c>
      <c r="G17" s="43"/>
      <c r="H17" s="44"/>
      <c r="I17" s="43" t="str">
        <f>HYPERLINK("http://vas_sth12.iqheat.com/rw-access/alarmlist.asp", "Okvitterad")</f>
        <v>Okvitterad</v>
      </c>
      <c r="J17" s="43" t="str">
        <f>HYPERLINK("http://vas_sth12.iqheat.com/rw-access/alarmhist.asp", "Kvitterad")</f>
        <v>Kvitterad</v>
      </c>
      <c r="K17" s="43" t="str">
        <f>HYPERLINK("http://vas_sth12.iqheat.com/rw-access/alarmsetup.asp", "Gränser")</f>
        <v>Gränser</v>
      </c>
      <c r="L17" s="43" t="str">
        <f>HYPERLINK("http://vas_sth12.iqheat.com/Report200/default.htm", "Energi")</f>
        <v>Energi</v>
      </c>
      <c r="M17" s="46" t="s">
        <v>192</v>
      </c>
      <c r="N17" s="42">
        <v>2500</v>
      </c>
      <c r="O17" s="46" t="s">
        <v>153</v>
      </c>
      <c r="P17" s="61" t="s">
        <v>229</v>
      </c>
    </row>
    <row r="18" spans="1:16" ht="20.100000000000001" customHeight="1">
      <c r="A18" s="7" t="s">
        <v>210</v>
      </c>
      <c r="B18" t="s">
        <v>211</v>
      </c>
      <c r="C18" s="149" t="str">
        <f>HYPERLINK("http://vas_sth13.iqheat.com", "Flöde")</f>
        <v>Flöde</v>
      </c>
      <c r="D18" s="149" t="str">
        <f>HYPERLINK("http://vas_sth13.iqheat.com/Report100/default.htm", "Historik")</f>
        <v>Historik</v>
      </c>
      <c r="E18" s="8" t="str">
        <f>HYPERLINK("http://vas_sth13.iqheat.com/rw-access/dhw.asp", "TappVV 104")</f>
        <v>TappVV 104</v>
      </c>
      <c r="F18" s="8" t="str">
        <f>HYPERLINK("http://vas_sth13.iqheat.com/rw-access/heat1.asp", "Rad 147")</f>
        <v>Rad 147</v>
      </c>
      <c r="G18" s="8"/>
      <c r="H18" s="1"/>
      <c r="I18" s="8" t="str">
        <f>HYPERLINK("http://vas_sth13.iqheat.com/rw-access/alarmlist.asp", "Okvitterad")</f>
        <v>Okvitterad</v>
      </c>
      <c r="J18" s="8" t="str">
        <f>HYPERLINK("http://vas_sth13.iqheat.com/rw-access/alarmhist.asp", "Kvitterad")</f>
        <v>Kvitterad</v>
      </c>
      <c r="K18" s="8" t="str">
        <f>HYPERLINK("http://vas_sth13.iqheat.com/rw-access/alarmsetup.asp", "Gränser")</f>
        <v>Gränser</v>
      </c>
      <c r="L18" s="8" t="str">
        <f>HYPERLINK("http://vas_sth13.iqheat.com/Report200/default.htm", "Energi")</f>
        <v>Energi</v>
      </c>
      <c r="M18" s="4" t="s">
        <v>212</v>
      </c>
      <c r="N18" s="11">
        <v>2000</v>
      </c>
      <c r="O18" s="4" t="s">
        <v>153</v>
      </c>
      <c r="P18" s="25" t="s">
        <v>229</v>
      </c>
    </row>
    <row r="19" spans="1:16" ht="20.100000000000001" customHeight="1">
      <c r="A19" s="40" t="s">
        <v>202</v>
      </c>
      <c r="B19" s="55" t="s">
        <v>142</v>
      </c>
      <c r="C19" s="43" t="str">
        <f>HYPERLINK("http://vas_sth14.iqheat.com", "Flöde")</f>
        <v>Flöde</v>
      </c>
      <c r="D19" s="43" t="str">
        <f>HYPERLINK("http://vas_sth14.iqheat.com/Report100/default.htm", "Historik")</f>
        <v>Historik</v>
      </c>
      <c r="E19" s="43" t="str">
        <f>HYPERLINK("http://vas_sth14.iqheat.com/rw-access/dhw.asp", "TappVV 207")</f>
        <v>TappVV 207</v>
      </c>
      <c r="F19" s="43" t="str">
        <f>HYPERLINK("http://vas_sth14.iqheat.com/rw-access/heat1.asp", "Rad 820")</f>
        <v>Rad 820</v>
      </c>
      <c r="G19" s="43"/>
      <c r="H19" s="44"/>
      <c r="I19" s="43" t="str">
        <f>HYPERLINK("http://vas_sth14.iqheat.com/rw-access/alarmlist.asp", "Okvitterad")</f>
        <v>Okvitterad</v>
      </c>
      <c r="J19" s="43" t="str">
        <f>HYPERLINK("http://vas_sth14.iqheat.com/rw-access/alarmhist.asp", "Kvitterad")</f>
        <v>Kvitterad</v>
      </c>
      <c r="K19" s="43" t="str">
        <f>HYPERLINK("http://vas_sth14.iqheat.com/rw-access/alarmsetup.asp", "Gränser")</f>
        <v>Gränser</v>
      </c>
      <c r="L19" s="43" t="str">
        <f>HYPERLINK("http://vas_sth14.iqheat.com/Report200/default.htm", "Energi")</f>
        <v>Energi</v>
      </c>
      <c r="M19" s="46" t="s">
        <v>213</v>
      </c>
      <c r="N19" s="42">
        <v>11200</v>
      </c>
      <c r="O19" s="46" t="s">
        <v>173</v>
      </c>
      <c r="P19" s="46" t="s">
        <v>231</v>
      </c>
    </row>
    <row r="20" spans="1:16" ht="20.100000000000001" customHeight="1">
      <c r="A20" s="7" t="s">
        <v>250</v>
      </c>
      <c r="B20" t="s">
        <v>262</v>
      </c>
      <c r="C20" s="149" t="str">
        <f>HYPERLINK("http://vas_sth15.iqheat.com", "Flöde")</f>
        <v>Flöde</v>
      </c>
      <c r="D20" s="149" t="str">
        <f>HYPERLINK("http://vas_sth15.iqheat.com/Report100/default.htm", "Historik")</f>
        <v>Historik</v>
      </c>
      <c r="E20" s="8" t="str">
        <f>HYPERLINK("http://vas_sth15.iqheat.com/rw-access/dhw.asp", "TappVV 380")</f>
        <v>TappVV 380</v>
      </c>
      <c r="F20" s="8" t="str">
        <f>HYPERLINK("http://vas_sth15.iqheat.com/rw-access/heat1.asp", "Vent 525")</f>
        <v>Vent 525</v>
      </c>
      <c r="G20" s="8" t="str">
        <f>HYPERLINK("http://vas_sth15.iqheat.com/rw-access/heat2.asp", "Rad 150")</f>
        <v>Rad 150</v>
      </c>
      <c r="H20" s="1"/>
      <c r="I20" s="8" t="str">
        <f>HYPERLINK("http://vas_sth15.iqheat.com/rw-access/alarmlist.asp", "Okvitterad")</f>
        <v>Okvitterad</v>
      </c>
      <c r="J20" s="8" t="str">
        <f>HYPERLINK("http://vas_sth15.iqheat.com/rw-access/alarmhist.asp", "Kvitterad")</f>
        <v>Kvitterad</v>
      </c>
      <c r="K20" s="8" t="str">
        <f>HYPERLINK("http://vas_sth15.iqheat.com/rw-access/alarmsetup.asp", "Gränser")</f>
        <v>Gränser</v>
      </c>
      <c r="L20" s="8" t="str">
        <f>HYPERLINK("http://vas_sth15.iqheat.com/Report200/default.htm", "Energi")</f>
        <v>Energi</v>
      </c>
      <c r="M20" s="4" t="s">
        <v>287</v>
      </c>
      <c r="N20" s="11">
        <v>7500</v>
      </c>
      <c r="O20" s="4" t="s">
        <v>153</v>
      </c>
      <c r="P20" s="25" t="s">
        <v>234</v>
      </c>
    </row>
    <row r="21" spans="1:16" ht="20.100000000000001" customHeight="1">
      <c r="A21" s="40" t="s">
        <v>251</v>
      </c>
      <c r="B21" s="41" t="s">
        <v>139</v>
      </c>
      <c r="C21" s="43" t="str">
        <f>HYPERLINK("http://vas_sth16.iqheat.com", "Flöde")</f>
        <v>Flöde</v>
      </c>
      <c r="D21" s="43" t="str">
        <f>HYPERLINK("http://vas_sth16.iqheat.com/Report100/default.htm", "Historik")</f>
        <v>Historik</v>
      </c>
      <c r="E21" s="43" t="str">
        <f>HYPERLINK("http://vas_sth16.iqheat.com/rw-access/dhw.asp", "TappVV 94")</f>
        <v>TappVV 94</v>
      </c>
      <c r="F21" s="43" t="str">
        <f>HYPERLINK("http://vas_sth16.iqheat.com/rw-access/heat1.asp", "Rad 175")</f>
        <v>Rad 175</v>
      </c>
      <c r="G21" s="43"/>
      <c r="H21" s="44"/>
      <c r="I21" s="43" t="str">
        <f>HYPERLINK("http://vas_sth16.iqheat.com/rw-access/alarmlist.asp", "Okvitterad")</f>
        <v>Okvitterad</v>
      </c>
      <c r="J21" s="43" t="str">
        <f>HYPERLINK("http://vas_sth16.iqheat.com/rw-access/alarmhist.asp", "Kvitterad")</f>
        <v>Kvitterad</v>
      </c>
      <c r="K21" s="43" t="str">
        <f>HYPERLINK("http://vas_sth16.iqheat.com/rw-access/alarmsetup.asp", "Gränser")</f>
        <v>Gränser</v>
      </c>
      <c r="L21" s="43" t="str">
        <f>HYPERLINK("http://vas_sth16.iqheat.com/Report200/default.htm", "Energi")</f>
        <v>Energi</v>
      </c>
      <c r="M21" s="46" t="s">
        <v>253</v>
      </c>
      <c r="N21" s="42">
        <v>2000</v>
      </c>
      <c r="O21" s="46" t="s">
        <v>153</v>
      </c>
      <c r="P21" s="61" t="s">
        <v>234</v>
      </c>
    </row>
    <row r="22" spans="1:16" ht="20.100000000000001" customHeight="1">
      <c r="A22" s="7" t="s">
        <v>289</v>
      </c>
      <c r="B22" t="s">
        <v>290</v>
      </c>
      <c r="C22" s="149" t="str">
        <f>HYPERLINK("http://vas_sth17.iqheat.com", "Flöde")</f>
        <v>Flöde</v>
      </c>
      <c r="D22" s="149" t="str">
        <f>HYPERLINK("http://vas_sth17.iqheat.com/Report100/default.htm", "Historik")</f>
        <v>Historik</v>
      </c>
      <c r="E22" s="8" t="str">
        <f>HYPERLINK("http://vas_sth17.iqheat.com/rw-access/dhw.asp", "TappVV 975")</f>
        <v>TappVV 975</v>
      </c>
      <c r="F22" s="8" t="str">
        <f>HYPERLINK("http://vas_sth17.iqheat.com/rw-access/heat1.asp", "Rad hotell 700")</f>
        <v>Rad hotell 700</v>
      </c>
      <c r="G22" s="8" t="str">
        <f>HYPERLINK("http://vas_sth17.iqheat.com/rw-access/heat2.asp", "Vent 1100")</f>
        <v>Vent 1100</v>
      </c>
      <c r="H22" s="8" t="str">
        <f>HYPERLINK("http://vas_sth17.iqheat.com/rw-access/heat2.asp", "Kontor rad 650")</f>
        <v>Kontor rad 650</v>
      </c>
      <c r="I22" s="8" t="str">
        <f>HYPERLINK("http://vas_sth17.iqheat.com/rw-access/alarmlist.asp", "Okvitterad")</f>
        <v>Okvitterad</v>
      </c>
      <c r="J22" s="8" t="str">
        <f>HYPERLINK("http://vas_sth17.iqheat.com/rw-access/alarmhist.asp", "Kvitterad")</f>
        <v>Kvitterad</v>
      </c>
      <c r="K22" s="8" t="str">
        <f>HYPERLINK("http://vas_sth17.iqheat.com/rw-access/alarmsetup.asp", "Gränser")</f>
        <v>Gränser</v>
      </c>
      <c r="L22" s="8" t="str">
        <f>HYPERLINK("http://vas_sth17.iqheat.com/Report200/default.htm", "Energi")</f>
        <v>Energi</v>
      </c>
      <c r="M22" s="4" t="s">
        <v>291</v>
      </c>
      <c r="N22" s="11"/>
      <c r="O22" s="4" t="s">
        <v>153</v>
      </c>
      <c r="P22" s="25" t="s">
        <v>234</v>
      </c>
    </row>
    <row r="23" spans="1:16" ht="20.100000000000001" customHeight="1">
      <c r="A23" s="40" t="s">
        <v>390</v>
      </c>
      <c r="B23" s="41" t="s">
        <v>391</v>
      </c>
      <c r="C23" s="43" t="str">
        <f>HYPERLINK("http://vas_sth18.iqheat.com", "Flöde")</f>
        <v>Flöde</v>
      </c>
      <c r="D23" s="43" t="str">
        <f>HYPERLINK("http://vas_sth18.iqheat.com/Report100/default.htm", "Historik")</f>
        <v>Historik</v>
      </c>
      <c r="E23" s="43" t="str">
        <f>HYPERLINK("http://vas_sth18.iqheat.com/rw-access/dhw.asp", "TappVV 104")</f>
        <v>TappVV 104</v>
      </c>
      <c r="F23" s="43" t="str">
        <f>HYPERLINK("http://vas_sth18.iqheat.com/rw-access/heat1.asp", "Rad 245")</f>
        <v>Rad 245</v>
      </c>
      <c r="G23" s="43"/>
      <c r="H23" s="44"/>
      <c r="I23" s="43" t="str">
        <f>HYPERLINK("http://vas_sth18.iqheat.com/rw-access/alarmlist.asp", "Okvitterad")</f>
        <v>Okvitterad</v>
      </c>
      <c r="J23" s="43" t="str">
        <f>HYPERLINK("http://vas_sth18.iqheat.com/rw-access/alarmhist.asp", "Kvitterad")</f>
        <v>Kvitterad</v>
      </c>
      <c r="K23" s="43" t="str">
        <f>HYPERLINK("http://vas_sth18.iqheat.com/rw-access/alarmsetup.asp", "Gränser")</f>
        <v>Gränser</v>
      </c>
      <c r="L23" s="43" t="str">
        <f>HYPERLINK("http://vas_sth18.iqheat.com/Report200/default.htm", "Energi")</f>
        <v>Energi</v>
      </c>
      <c r="M23" s="46" t="s">
        <v>405</v>
      </c>
      <c r="N23" s="42"/>
      <c r="O23" s="46"/>
      <c r="P23" s="61" t="s">
        <v>392</v>
      </c>
    </row>
    <row r="24" spans="1:16" ht="20.100000000000001" customHeight="1">
      <c r="A24" s="7" t="s">
        <v>530</v>
      </c>
      <c r="B24" t="s">
        <v>529</v>
      </c>
      <c r="C24" s="149" t="str">
        <f>HYPERLINK("http://vas_sth19.iqheat.com", "Flöde")</f>
        <v>Flöde</v>
      </c>
      <c r="D24" s="149" t="str">
        <f>HYPERLINK("http://vas_sth19.iqheat.com/Report100/default.htm", "Historik")</f>
        <v>Historik</v>
      </c>
      <c r="E24" s="8" t="str">
        <f>HYPERLINK("http://vas_sth19.iqheat.com/rw-access/dhw.asp", "TappVV")</f>
        <v>TappVV</v>
      </c>
      <c r="F24" s="8" t="str">
        <f>HYPERLINK("http://vas_sth19.iqheat.com/rw-access/heat1.asp", "Rad 325")</f>
        <v>Rad 325</v>
      </c>
      <c r="G24" s="8" t="str">
        <f>HYPERLINK("http://vas_sth19.iqheat.com/rw-access/heat2.asp", "Vent 110")</f>
        <v>Vent 110</v>
      </c>
      <c r="H24" s="1"/>
      <c r="I24" s="8" t="str">
        <f>HYPERLINK("http://vas_sth19.iqheat.com/rw-access/alarmlist.asp", "Okvitterad")</f>
        <v>Okvitterad</v>
      </c>
      <c r="J24" s="8" t="str">
        <f>HYPERLINK("http://vas_sth19.iqheat.com/rw-access/alarmhist.asp", "Kvitterad")</f>
        <v>Kvitterad</v>
      </c>
      <c r="K24" s="8" t="str">
        <f>HYPERLINK("http://vas_sth19.iqheat.com/rw-access/alarmsetup.asp", "Gränser")</f>
        <v>Gränser</v>
      </c>
      <c r="L24" s="8" t="str">
        <f>HYPERLINK("http://vas_sth19.iqheat.com/Report200/default.htm", "Energi")</f>
        <v>Energi</v>
      </c>
      <c r="M24" s="4" t="s">
        <v>531</v>
      </c>
      <c r="N24" s="11">
        <v>4040</v>
      </c>
      <c r="O24" s="4" t="s">
        <v>153</v>
      </c>
      <c r="P24" s="25" t="s">
        <v>229</v>
      </c>
    </row>
    <row r="25" spans="1:16" ht="20.100000000000001" customHeight="1">
      <c r="A25" s="40" t="s">
        <v>533</v>
      </c>
      <c r="B25" s="41" t="s">
        <v>534</v>
      </c>
      <c r="C25" s="43" t="str">
        <f>HYPERLINK("http://vas_sth20.iqheat.com", "Flöde")</f>
        <v>Flöde</v>
      </c>
      <c r="D25" s="43" t="str">
        <f>HYPERLINK("http://vas_sth20.iqheat.com/Report100/default.htm", "Historik")</f>
        <v>Historik</v>
      </c>
      <c r="E25" s="43" t="str">
        <f>HYPERLINK("http://vas_sth20.iqheat.com/rw-access/dhw.asp", "TappVV")</f>
        <v>TappVV</v>
      </c>
      <c r="F25" s="43" t="str">
        <f>HYPERLINK("http://vas_sth20.iqheat.com/rw-access/heat1.asp", "Rad")</f>
        <v>Rad</v>
      </c>
      <c r="G25" s="43" t="str">
        <f>HYPERLINK("http://vas_sth20.iqheat.com/rw-access/heat2.asp", "Vent")</f>
        <v>Vent</v>
      </c>
      <c r="H25" s="44"/>
      <c r="I25" s="43" t="str">
        <f>HYPERLINK("http://vas_sth20.iqheat.com/rw-access/alarmlist.asp", "Okvitterad")</f>
        <v>Okvitterad</v>
      </c>
      <c r="J25" s="43" t="str">
        <f>HYPERLINK("http://vas_sth20.iqheat.com/rw-access/alarmhist.asp", "Kvitterad")</f>
        <v>Kvitterad</v>
      </c>
      <c r="K25" s="43" t="str">
        <f>HYPERLINK("http://vas_sth20.iqheat.com/rw-access/alarmsetup.asp", "Gränser")</f>
        <v>Gränser</v>
      </c>
      <c r="L25" s="43" t="str">
        <f>HYPERLINK("http://vas_sth20.iqheat.com/Report200/default.htm", "Energi")</f>
        <v>Energi</v>
      </c>
      <c r="M25" s="46" t="s">
        <v>545</v>
      </c>
      <c r="N25" s="42"/>
      <c r="O25" s="46" t="s">
        <v>153</v>
      </c>
      <c r="P25" s="61" t="s">
        <v>229</v>
      </c>
    </row>
    <row r="26" spans="1:16" ht="20.100000000000001" customHeight="1">
      <c r="A26" s="7" t="s">
        <v>535</v>
      </c>
      <c r="B26" t="s">
        <v>537</v>
      </c>
      <c r="C26" s="149" t="str">
        <f>HYPERLINK("http://vas_sth21.iqheat.com", "Flöde")</f>
        <v>Flöde</v>
      </c>
      <c r="D26" s="149" t="str">
        <f>HYPERLINK("http://vas_sth21.iqheat.com/Report100/default.htm", "Historik")</f>
        <v>Historik</v>
      </c>
      <c r="E26" s="8" t="str">
        <f>HYPERLINK("http://vas_sth21.iqheat.com/rw-access/dhw.asp", "TappVV")</f>
        <v>TappVV</v>
      </c>
      <c r="F26" s="8" t="str">
        <f>HYPERLINK("http://vas_sth21.iqheat.com/rw-access/heat1.asp", "Rad")</f>
        <v>Rad</v>
      </c>
      <c r="G26" s="8"/>
      <c r="H26" s="1"/>
      <c r="I26" s="8" t="str">
        <f>HYPERLINK("http://vas_sth21.iqheat.com/rw-access/alarmlist.asp", "Okvitterad")</f>
        <v>Okvitterad</v>
      </c>
      <c r="J26" s="8" t="str">
        <f>HYPERLINK("http://vas_sth21.iqheat.com/rw-access/alarmhist.asp", "Kvitterad")</f>
        <v>Kvitterad</v>
      </c>
      <c r="K26" s="8" t="str">
        <f>HYPERLINK("http://vas_sth21.iqheat.com/rw-access/alarmsetup.asp", "Gränser")</f>
        <v>Gränser</v>
      </c>
      <c r="L26" s="8" t="str">
        <f>HYPERLINK("http://vas_sth21.iqheat.com/Report200/default.htm", "Energi")</f>
        <v>Energi</v>
      </c>
      <c r="M26" s="4" t="s">
        <v>546</v>
      </c>
      <c r="N26" s="11"/>
      <c r="O26" s="4" t="s">
        <v>153</v>
      </c>
      <c r="P26" s="25" t="s">
        <v>229</v>
      </c>
    </row>
    <row r="27" spans="1:16" ht="20.100000000000001" customHeight="1">
      <c r="A27" s="40" t="s">
        <v>536</v>
      </c>
      <c r="B27" s="41" t="s">
        <v>538</v>
      </c>
      <c r="C27" s="43" t="str">
        <f>HYPERLINK("http://vas_sth22.iqheat.com", "Flöde")</f>
        <v>Flöde</v>
      </c>
      <c r="D27" s="43" t="str">
        <f>HYPERLINK("http://vas_sth22.iqheat.com/Report100/default.htm", "Historik")</f>
        <v>Historik</v>
      </c>
      <c r="E27" s="43" t="str">
        <f>HYPERLINK("http://vas_sth22.iqheat.com/rw-access/dhw.asp", "TappVV")</f>
        <v>TappVV</v>
      </c>
      <c r="F27" s="43" t="str">
        <f>HYPERLINK("http://vas_sth22.iqheat.com/rw-access/heat1.asp", "Rad")</f>
        <v>Rad</v>
      </c>
      <c r="G27" s="43" t="str">
        <f>HYPERLINK("http://vas_sth22.iqheat.com/rw-access/heat2.asp", "Vent")</f>
        <v>Vent</v>
      </c>
      <c r="H27" s="44"/>
      <c r="I27" s="43" t="str">
        <f>HYPERLINK("http://vas_sth22.iqheat.com/rw-access/alarmlist.asp", "Okvitterad")</f>
        <v>Okvitterad</v>
      </c>
      <c r="J27" s="43" t="str">
        <f>HYPERLINK("http://vas_sth22.iqheat.com/rw-access/alarmhist.asp", "Kvitterad")</f>
        <v>Kvitterad</v>
      </c>
      <c r="K27" s="43" t="str">
        <f>HYPERLINK("http://vas_sth22.iqheat.com/rw-access/alarmsetup.asp", "Gränser")</f>
        <v>Gränser</v>
      </c>
      <c r="L27" s="43" t="str">
        <f>HYPERLINK("http://vas_sth22.iqheat.com/Report200/default.htm", "Energi")</f>
        <v>Energi</v>
      </c>
      <c r="M27" s="46" t="s">
        <v>547</v>
      </c>
      <c r="N27" s="42"/>
      <c r="O27" s="46" t="s">
        <v>153</v>
      </c>
      <c r="P27" s="61" t="s">
        <v>229</v>
      </c>
    </row>
    <row r="28" spans="1:16" ht="20.100000000000001" customHeight="1">
      <c r="A28" s="7" t="s">
        <v>596</v>
      </c>
      <c r="B28" t="s">
        <v>580</v>
      </c>
      <c r="C28" s="149" t="str">
        <f>HYPERLINK("http://vas_sth23.iqheat.com", "Flöde")</f>
        <v>Flöde</v>
      </c>
      <c r="D28" s="149" t="str">
        <f>HYPERLINK("http://vas_sth23.iqheat.com/Report100/default.htm", "Historik")</f>
        <v>Historik</v>
      </c>
      <c r="E28" s="8" t="str">
        <f>HYPERLINK("http://vas_sth23.iqheat.com/rw-access/dhw.asp", "TappVV 151")</f>
        <v>TappVV 151</v>
      </c>
      <c r="F28" s="8" t="str">
        <f>HYPERLINK("http://vas_sth23.iqheat.com/rw-access/heat1.asp", "Rad 225")</f>
        <v>Rad 225</v>
      </c>
      <c r="G28" s="8"/>
      <c r="H28" s="1"/>
      <c r="I28" s="8" t="str">
        <f>HYPERLINK("http://vas_sth23.iqheat.com/rw-access/alarmlist.asp", "Okvitterad")</f>
        <v>Okvitterad</v>
      </c>
      <c r="J28" s="8" t="str">
        <f>HYPERLINK("http://vas_sth23.iqheat.com/rw-access/alarmhist.asp", "Kvitterad")</f>
        <v>Kvitterad</v>
      </c>
      <c r="K28" s="8" t="str">
        <f>HYPERLINK("http://vas_sth23.iqheat.com/rw-access/alarmsetup.asp", "Gränser")</f>
        <v>Gränser</v>
      </c>
      <c r="L28" s="8" t="str">
        <f>HYPERLINK("http://vas_sth23.iqheat.com/Report200/default.htm", "Energi")</f>
        <v>Energi</v>
      </c>
      <c r="M28" s="4" t="s">
        <v>597</v>
      </c>
      <c r="N28" s="11"/>
      <c r="O28" s="4" t="s">
        <v>153</v>
      </c>
      <c r="P28" s="25" t="s">
        <v>229</v>
      </c>
    </row>
    <row r="29" spans="1:16" ht="20.100000000000001" customHeight="1">
      <c r="A29" s="40" t="s">
        <v>598</v>
      </c>
      <c r="B29" s="41" t="s">
        <v>627</v>
      </c>
      <c r="C29" s="43" t="str">
        <f>HYPERLINK("http://vas_sth24.iqheat.com", "Flöde")</f>
        <v>Flöde</v>
      </c>
      <c r="D29" s="43" t="str">
        <f>HYPERLINK("http://vas_sth24.iqheat.com/Report100/default.htm", "Historik")</f>
        <v>Historik</v>
      </c>
      <c r="E29" s="43" t="str">
        <f>HYPERLINK("http://vas_sth24.iqheat.com/rw-access/dhw.asp", "TappVV")</f>
        <v>TappVV</v>
      </c>
      <c r="F29" s="43" t="str">
        <f>HYPERLINK("http://vas_sth24.iqheat.com/rw-access/heat1.asp", "Rad")</f>
        <v>Rad</v>
      </c>
      <c r="G29" s="43"/>
      <c r="H29" s="44"/>
      <c r="I29" s="43" t="str">
        <f>HYPERLINK("http://vas_sth24.iqheat.com/rw-access/alarmlist.asp", "Okvitterad")</f>
        <v>Okvitterad</v>
      </c>
      <c r="J29" s="43" t="str">
        <f>HYPERLINK("http://vas_sth24.iqheat.com/rw-access/alarmhist.asp", "Kvitterad")</f>
        <v>Kvitterad</v>
      </c>
      <c r="K29" s="43" t="str">
        <f>HYPERLINK("http://vas_sth24.iqheat.com/rw-access/alarmsetup.asp", "Gränser")</f>
        <v>Gränser</v>
      </c>
      <c r="L29" s="43" t="str">
        <f>HYPERLINK("http://vas_sth24.iqheat.com/Report200/default.htm", "Energi")</f>
        <v>Energi</v>
      </c>
      <c r="M29" s="41" t="s">
        <v>599</v>
      </c>
      <c r="N29" s="42"/>
      <c r="O29" s="46" t="s">
        <v>153</v>
      </c>
      <c r="P29" s="61" t="s">
        <v>392</v>
      </c>
    </row>
    <row r="30" spans="1:16" ht="20.100000000000001" customHeight="1">
      <c r="A30" s="7" t="s">
        <v>628</v>
      </c>
      <c r="B30" t="s">
        <v>629</v>
      </c>
      <c r="C30" s="149" t="str">
        <f>HYPERLINK("http://vas_sth25.iqheat.com", "Flöde")</f>
        <v>Flöde</v>
      </c>
      <c r="D30" s="149" t="str">
        <f>HYPERLINK("http://vas_sth25.iqheat.com/Report100/default.htm", "Historik")</f>
        <v>Historik</v>
      </c>
      <c r="E30" s="8" t="str">
        <f>HYPERLINK("http://vas_sth25.iqheat.com/rw-access/dhw.asp", "TappVV 151")</f>
        <v>TappVV 151</v>
      </c>
      <c r="F30" s="8" t="str">
        <f>HYPERLINK("http://vas_sth25.iqheat.com/rw-access/heat1.asp", "Rad 225")</f>
        <v>Rad 225</v>
      </c>
      <c r="G30" s="8"/>
      <c r="H30" s="1"/>
      <c r="I30" s="8" t="str">
        <f>HYPERLINK("http://vas_sth25.iqheat.com/rw-access/alarmlist.asp", "Okvitterad")</f>
        <v>Okvitterad</v>
      </c>
      <c r="J30" s="8" t="str">
        <f>HYPERLINK("http://vas_sth25.iqheat.com/rw-access/alarmhist.asp", "Kvitterad")</f>
        <v>Kvitterad</v>
      </c>
      <c r="K30" s="8" t="str">
        <f>HYPERLINK("http://vas_sth25.iqheat.com/rw-access/alarmsetup.asp", "Gränser")</f>
        <v>Gränser</v>
      </c>
      <c r="L30" s="8" t="str">
        <f>HYPERLINK("http://vas_sth25.iqheat.com/Report200/default.htm", "Energi")</f>
        <v>Energi</v>
      </c>
      <c r="M30" s="4" t="s">
        <v>630</v>
      </c>
      <c r="N30" s="11"/>
      <c r="O30" s="4" t="s">
        <v>153</v>
      </c>
      <c r="P30" s="25"/>
    </row>
    <row r="31" spans="1:16" ht="20.100000000000001" customHeight="1">
      <c r="A31" s="102"/>
      <c r="B31" s="97"/>
      <c r="C31" s="87"/>
      <c r="D31" s="87"/>
      <c r="E31" s="87"/>
      <c r="F31" s="87"/>
      <c r="G31" s="87"/>
      <c r="H31" s="66"/>
      <c r="I31" s="87"/>
      <c r="J31" s="87"/>
      <c r="K31" s="87"/>
      <c r="L31" s="87"/>
      <c r="M31" s="75"/>
      <c r="N31" s="153"/>
      <c r="O31" s="75"/>
      <c r="P31" s="25"/>
    </row>
    <row r="32" spans="1:16" ht="20.100000000000001" customHeight="1">
      <c r="A32" s="102"/>
      <c r="B32" s="7" t="s">
        <v>553</v>
      </c>
      <c r="C32" s="72" t="s">
        <v>280</v>
      </c>
      <c r="D32" s="72" t="s">
        <v>280</v>
      </c>
      <c r="E32" s="73" t="s">
        <v>281</v>
      </c>
      <c r="F32" s="73" t="s">
        <v>281</v>
      </c>
      <c r="G32" s="73" t="s">
        <v>281</v>
      </c>
      <c r="H32" s="73" t="s">
        <v>281</v>
      </c>
      <c r="I32" s="73" t="s">
        <v>281</v>
      </c>
      <c r="J32" s="73" t="s">
        <v>281</v>
      </c>
      <c r="K32" s="73" t="s">
        <v>281</v>
      </c>
      <c r="L32" s="72" t="s">
        <v>280</v>
      </c>
      <c r="M32" s="75"/>
      <c r="N32" s="153"/>
      <c r="O32" s="75"/>
      <c r="P32" s="25"/>
    </row>
    <row r="33" spans="1:17" ht="20.100000000000001" customHeight="1">
      <c r="A33" s="40" t="s">
        <v>618</v>
      </c>
      <c r="B33" s="65" t="s">
        <v>589</v>
      </c>
      <c r="C33" s="43" t="str">
        <f>HYPERLINK("http://vas_taby07.iqheat.com", "Flöde")</f>
        <v>Flöde</v>
      </c>
      <c r="D33" s="43" t="str">
        <f>HYPERLINK("http://vas_taby07.iqheat.com/Report100/default.htm", "Historik")</f>
        <v>Historik</v>
      </c>
      <c r="E33" s="43" t="str">
        <f>HYPERLINK("http://vas_taby07.iqheat.com/rw-access/dhw.asp", "TappVV 132")</f>
        <v>TappVV 132</v>
      </c>
      <c r="F33" s="43" t="str">
        <f>HYPERLINK("http://vas_taby07.iqheat.com/rw-access/heat1.asp", "Rad 200")</f>
        <v>Rad 200</v>
      </c>
      <c r="G33" s="43" t="str">
        <f>HYPERLINK("http://vas_taby07.iqheat.com/rw-access/heat2.asp", "Vent")</f>
        <v>Vent</v>
      </c>
      <c r="H33" s="44"/>
      <c r="I33" s="43" t="str">
        <f>HYPERLINK("http://vas_taby07.iqheat.com/rw-access/alarmlist.asp", "Okvitterad")</f>
        <v>Okvitterad</v>
      </c>
      <c r="J33" s="43" t="str">
        <f>HYPERLINK("http://vas_taby07.iqheat.com/rw-access/alarmhist.asp", "Kvitterad")</f>
        <v>Kvitterad</v>
      </c>
      <c r="K33" s="43" t="str">
        <f>HYPERLINK("http://vas_taby07.iqheat.com/rw-access/alarmsetup.asp", "Gränser")</f>
        <v>Gränser</v>
      </c>
      <c r="L33" s="43" t="str">
        <f>HYPERLINK("http://vas_taby07.iqheat.com/Report200/default.htm", "Energi")</f>
        <v>Energi</v>
      </c>
      <c r="M33" s="41" t="s">
        <v>588</v>
      </c>
      <c r="N33" s="42"/>
      <c r="O33" s="46" t="s">
        <v>553</v>
      </c>
      <c r="P33" s="46" t="s">
        <v>609</v>
      </c>
    </row>
    <row r="34" spans="1:17" ht="20.100000000000001" customHeight="1">
      <c r="A34" s="102" t="s">
        <v>619</v>
      </c>
      <c r="B34" s="154" t="s">
        <v>600</v>
      </c>
      <c r="C34" s="8" t="str">
        <f>HYPERLINK("http://vas_taby03.iqheat.com", "Flöde")</f>
        <v>Flöde</v>
      </c>
      <c r="D34" s="8" t="str">
        <f>HYPERLINK("http://vas_taby03.iqheat.com/Report100/default.htm", "Historik")</f>
        <v>Historik</v>
      </c>
      <c r="E34" s="8" t="str">
        <f>HYPERLINK("http://vas_taby03.iqheat.com/rw-access/dhw.asp", "TappVV 200")</f>
        <v>TappVV 200</v>
      </c>
      <c r="F34" s="8" t="str">
        <f>HYPERLINK("http://vas_taby03.iqheat.com/rw-access/heat1.asp", "Rad 980")</f>
        <v>Rad 980</v>
      </c>
      <c r="G34" s="8"/>
      <c r="H34" s="1"/>
      <c r="I34" s="8" t="str">
        <f>HYPERLINK("http://vas_taby03.iqheat.com/rw-access/alarmlist.asp", "Okvitterad")</f>
        <v>Okvitterad</v>
      </c>
      <c r="J34" s="8" t="str">
        <f>HYPERLINK("http://vas_taby03.iqheat.com/rw-access/alarmhist.asp", "Kvitterad")</f>
        <v>Kvitterad</v>
      </c>
      <c r="K34" s="8" t="str">
        <f>HYPERLINK("http://vas_taby03.iqheat.com/rw-access/alarmsetup.asp", "Gränser")</f>
        <v>Gränser</v>
      </c>
      <c r="L34" s="8" t="str">
        <f>HYPERLINK("http://vas_taby03.iqheat.com/Report200/default.htm", "Energi")</f>
        <v>Energi</v>
      </c>
      <c r="M34" s="97" t="s">
        <v>601</v>
      </c>
      <c r="N34" s="153"/>
      <c r="O34" s="75" t="s">
        <v>553</v>
      </c>
      <c r="P34" s="75" t="s">
        <v>610</v>
      </c>
      <c r="Q34" s="25"/>
    </row>
    <row r="35" spans="1:17" ht="20.100000000000001" customHeight="1">
      <c r="A35" s="40" t="s">
        <v>620</v>
      </c>
      <c r="B35" s="65" t="s">
        <v>602</v>
      </c>
      <c r="C35" s="43" t="str">
        <f>HYPERLINK("http://vas_taby06.iqheat.com", "Flöde")</f>
        <v>Flöde</v>
      </c>
      <c r="D35" s="43" t="str">
        <f>HYPERLINK("http://vas_taby06.iqheat.com/Report100/default.htm", "Historik")</f>
        <v>Historik</v>
      </c>
      <c r="E35" s="43" t="str">
        <f>HYPERLINK("http://vas_taby06.iqheat.com/rw-access/dhw.asp", "TappVV 140")</f>
        <v>TappVV 140</v>
      </c>
      <c r="F35" s="43" t="str">
        <f>HYPERLINK("http://vas_taby06.iqheat.com/rw-access/heat1.asp", "Rad 530")</f>
        <v>Rad 530</v>
      </c>
      <c r="G35" s="43"/>
      <c r="H35" s="44"/>
      <c r="I35" s="43" t="str">
        <f>HYPERLINK("http://vas_taby06.iqheat.com/rw-access/alarmlist.asp", "Okvitterad")</f>
        <v>Okvitterad</v>
      </c>
      <c r="J35" s="43" t="str">
        <f>HYPERLINK("http://vas_taby06.iqheat.com/rw-access/alarmhist.asp", "Kvitterad")</f>
        <v>Kvitterad</v>
      </c>
      <c r="K35" s="43" t="str">
        <f>HYPERLINK("http://vas_taby06.iqheat.com/rw-access/alarmsetup.asp", "Gränser")</f>
        <v>Gränser</v>
      </c>
      <c r="L35" s="43" t="str">
        <f>HYPERLINK("http://vas_taby06.iqheat.com/Report200/default.htm", "Energi")</f>
        <v>Energi</v>
      </c>
      <c r="M35" s="41" t="s">
        <v>603</v>
      </c>
      <c r="N35" s="42"/>
      <c r="O35" s="46" t="s">
        <v>553</v>
      </c>
      <c r="P35" s="46" t="s">
        <v>611</v>
      </c>
    </row>
    <row r="36" spans="1:17" ht="20.100000000000001" customHeight="1">
      <c r="A36" s="102" t="s">
        <v>621</v>
      </c>
      <c r="B36" s="154" t="s">
        <v>604</v>
      </c>
      <c r="C36" s="8" t="str">
        <f>HYPERLINK("http://vas_taby01.iqheat.com", "Flöde")</f>
        <v>Flöde</v>
      </c>
      <c r="D36" s="8" t="str">
        <f>HYPERLINK("http://vas_taby01.iqheat.com/Report100/default.htm", "Historik")</f>
        <v>Historik</v>
      </c>
      <c r="E36" s="8" t="str">
        <f>HYPERLINK("http://vas_taby01.iqheat.com/rw-access/dhw.asp", "TappVV 340")</f>
        <v>TappVV 340</v>
      </c>
      <c r="F36" s="8" t="str">
        <f>HYPERLINK("http://vas_taby01.iqheat.com/rw-access/heat1.asp", "Rad 1400")</f>
        <v>Rad 1400</v>
      </c>
      <c r="G36" s="8"/>
      <c r="H36" s="1"/>
      <c r="I36" s="8" t="str">
        <f>HYPERLINK("http://vas_taby01.iqheat.com/rw-access/alarmlist.asp", "Okvitterad")</f>
        <v>Okvitterad</v>
      </c>
      <c r="J36" s="8" t="str">
        <f>HYPERLINK("http://vas_taby01.iqheat.com/rw-access/alarmhist.asp", "Kvitterad")</f>
        <v>Kvitterad</v>
      </c>
      <c r="K36" s="8" t="str">
        <f>HYPERLINK("http://vas_taby01.iqheat.com/rw-access/alarmsetup.asp", "Gränser")</f>
        <v>Gränser</v>
      </c>
      <c r="L36" s="8" t="str">
        <f>HYPERLINK("http://vas_taby01.iqheat.com/Report200/default.htm", "Energi")</f>
        <v>Energi</v>
      </c>
      <c r="M36" s="97" t="s">
        <v>637</v>
      </c>
      <c r="N36" s="153"/>
      <c r="O36" s="75" t="s">
        <v>553</v>
      </c>
      <c r="P36" s="75" t="s">
        <v>612</v>
      </c>
    </row>
    <row r="37" spans="1:17" ht="20.100000000000001" customHeight="1">
      <c r="A37" s="40" t="s">
        <v>622</v>
      </c>
      <c r="B37" s="65" t="s">
        <v>605</v>
      </c>
      <c r="C37" s="43" t="str">
        <f>HYPERLINK("http://vas_taby02.iqheat.com", "Flöde")</f>
        <v>Flöde</v>
      </c>
      <c r="D37" s="43" t="str">
        <f>HYPERLINK("http://vas_taby02.iqheat.com/Report100/default.htm", "Historik")</f>
        <v>Historik</v>
      </c>
      <c r="E37" s="43" t="str">
        <f>HYPERLINK("http://vas_taby02.iqheat.com/rw-access/dhw.asp", "TappVV 260")</f>
        <v>TappVV 260</v>
      </c>
      <c r="F37" s="43" t="str">
        <f>HYPERLINK("http://vas_taby02.iqheat.com/rw-access/heat1.asp", "Rad 1180")</f>
        <v>Rad 1180</v>
      </c>
      <c r="G37" s="43"/>
      <c r="H37" s="44"/>
      <c r="I37" s="43" t="str">
        <f>HYPERLINK("http://vas_taby02.iqheat.com/rw-access/alarmlist.asp", "Okvitterad")</f>
        <v>Okvitterad</v>
      </c>
      <c r="J37" s="43" t="str">
        <f>HYPERLINK("http://vas_taby02.iqheat.com/rw-access/alarmhist.asp", "Kvitterad")</f>
        <v>Kvitterad</v>
      </c>
      <c r="K37" s="43" t="str">
        <f>HYPERLINK("http://vas_taby02.iqheat.com/rw-access/alarmsetup.asp", "Gränser")</f>
        <v>Gränser</v>
      </c>
      <c r="L37" s="43" t="str">
        <f>HYPERLINK("http://vas_taby02.iqheat.com/Report200/default.htm", "Energi")</f>
        <v>Energi</v>
      </c>
      <c r="M37" s="41" t="s">
        <v>606</v>
      </c>
      <c r="N37" s="42"/>
      <c r="O37" s="46" t="s">
        <v>553</v>
      </c>
      <c r="P37" s="46" t="s">
        <v>613</v>
      </c>
    </row>
    <row r="38" spans="1:17" ht="20.100000000000001" customHeight="1">
      <c r="A38" s="102" t="s">
        <v>623</v>
      </c>
      <c r="B38" s="154" t="s">
        <v>607</v>
      </c>
      <c r="C38" s="8" t="str">
        <f>HYPERLINK("http://vas_taby04.iqheat.com", "Flöde")</f>
        <v>Flöde</v>
      </c>
      <c r="D38" s="8" t="str">
        <f>HYPERLINK("http://vas_taby04.iqheat.com/Report100/default.htm", "Historik")</f>
        <v>Historik</v>
      </c>
      <c r="E38" s="8" t="str">
        <f>HYPERLINK("http://vas_taby04.iqheat.com/rw-access/dhw.asp", "TappVV 290")</f>
        <v>TappVV 290</v>
      </c>
      <c r="F38" s="8" t="str">
        <f>HYPERLINK("http://vas_taby04.iqheat.com/rw-access/heat1.asp", "Rad 1100")</f>
        <v>Rad 1100</v>
      </c>
      <c r="G38" s="8"/>
      <c r="H38" s="1"/>
      <c r="I38" s="8" t="str">
        <f>HYPERLINK("http://vas_taby04.iqheat.com/rw-access/alarmlist.asp", "Okvitterad")</f>
        <v>Okvitterad</v>
      </c>
      <c r="J38" s="8" t="str">
        <f>HYPERLINK("http://vas_taby04.iqheat.com/rw-access/alarmhist.asp", "Kvitterad")</f>
        <v>Kvitterad</v>
      </c>
      <c r="K38" s="8" t="str">
        <f>HYPERLINK("http://vas_taby04.iqheat.com/rw-access/alarmsetup.asp", "Gränser")</f>
        <v>Gränser</v>
      </c>
      <c r="L38" s="8" t="str">
        <f>HYPERLINK("http://vas_taby04.iqheat.com/Report200/default.htm", "Energi")</f>
        <v>Energi</v>
      </c>
      <c r="M38" s="97" t="s">
        <v>608</v>
      </c>
      <c r="N38" s="153"/>
      <c r="O38" s="75" t="s">
        <v>553</v>
      </c>
      <c r="P38" s="75" t="s">
        <v>614</v>
      </c>
    </row>
    <row r="39" spans="1:17" ht="20.100000000000001" customHeight="1">
      <c r="A39" s="40" t="s">
        <v>624</v>
      </c>
      <c r="B39" s="65" t="s">
        <v>615</v>
      </c>
      <c r="C39" s="43" t="str">
        <f>HYPERLINK("http://vas_taby05.iqheat.com", "Flöde")</f>
        <v>Flöde</v>
      </c>
      <c r="D39" s="43" t="str">
        <f>HYPERLINK("http://vas_taby05.iqheat.com/Report100/default.htm", "Historik")</f>
        <v>Historik</v>
      </c>
      <c r="E39" s="43" t="str">
        <f>HYPERLINK("http://vas_taby05.iqheat.com/rw-access/dhw.asp", "TappVV 260")</f>
        <v>TappVV 260</v>
      </c>
      <c r="F39" s="43" t="str">
        <f>HYPERLINK("http://vas_taby05.iqheat.com/rw-access/heat1.asp", "Rad 990")</f>
        <v>Rad 990</v>
      </c>
      <c r="G39" s="43"/>
      <c r="H39" s="44"/>
      <c r="I39" s="43" t="str">
        <f>HYPERLINK("http://vas_taby05.iqheat.com/rw-access/alarmlist.asp", "Okvitterad")</f>
        <v>Okvitterad</v>
      </c>
      <c r="J39" s="43" t="str">
        <f>HYPERLINK("http://vas_taby05.iqheat.com/rw-access/alarmhist.asp", "Kvitterad")</f>
        <v>Kvitterad</v>
      </c>
      <c r="K39" s="43" t="str">
        <f>HYPERLINK("http://vas_taby05.iqheat.com/rw-access/alarmsetup.asp", "Gränser")</f>
        <v>Gränser</v>
      </c>
      <c r="L39" s="43" t="str">
        <f>HYPERLINK("http://vas_taby05.iqheat.com/Report200/default.htm", "Energi")</f>
        <v>Energi</v>
      </c>
      <c r="M39" s="41" t="s">
        <v>616</v>
      </c>
      <c r="N39" s="42"/>
      <c r="O39" s="46" t="s">
        <v>553</v>
      </c>
      <c r="P39" s="46" t="s">
        <v>617</v>
      </c>
    </row>
    <row r="40" spans="1:17" ht="20.100000000000001" customHeight="1">
      <c r="A40" s="102"/>
      <c r="B40" s="97"/>
      <c r="C40" s="87"/>
      <c r="D40" s="87"/>
      <c r="E40" s="87"/>
      <c r="F40" s="87"/>
      <c r="G40" s="87"/>
      <c r="H40" s="66"/>
      <c r="I40" s="87"/>
      <c r="J40" s="87"/>
      <c r="K40" s="87"/>
      <c r="L40" s="87"/>
      <c r="M40" s="75"/>
      <c r="N40" s="153"/>
      <c r="O40" s="75"/>
      <c r="P40" s="25"/>
    </row>
    <row r="41" spans="1:17" ht="9.75" customHeight="1">
      <c r="F41"/>
      <c r="N41" s="12"/>
    </row>
    <row r="42" spans="1:17" ht="20.100000000000001" customHeight="1">
      <c r="A42" s="7"/>
      <c r="B42" s="7" t="s">
        <v>255</v>
      </c>
      <c r="C42" s="72" t="s">
        <v>280</v>
      </c>
      <c r="D42" s="72" t="s">
        <v>280</v>
      </c>
      <c r="E42" s="73" t="s">
        <v>281</v>
      </c>
      <c r="F42" s="73" t="s">
        <v>281</v>
      </c>
      <c r="G42" s="73" t="s">
        <v>281</v>
      </c>
      <c r="H42" s="73" t="s">
        <v>281</v>
      </c>
      <c r="I42" s="73" t="s">
        <v>281</v>
      </c>
      <c r="J42" s="73" t="s">
        <v>281</v>
      </c>
      <c r="K42" s="73" t="s">
        <v>281</v>
      </c>
      <c r="L42" s="72" t="s">
        <v>280</v>
      </c>
    </row>
    <row r="43" spans="1:17" ht="20.100000000000001" customHeight="1">
      <c r="A43" s="40" t="s">
        <v>12</v>
      </c>
      <c r="B43" s="41" t="s">
        <v>260</v>
      </c>
      <c r="C43" s="43" t="s">
        <v>2</v>
      </c>
      <c r="D43" s="43" t="s">
        <v>6</v>
      </c>
      <c r="E43" s="43" t="s">
        <v>314</v>
      </c>
      <c r="F43" s="43" t="s">
        <v>315</v>
      </c>
      <c r="G43" s="44"/>
      <c r="H43" s="44"/>
      <c r="I43" s="43" t="s">
        <v>7</v>
      </c>
      <c r="J43" s="43" t="s">
        <v>6</v>
      </c>
      <c r="K43" s="43" t="s">
        <v>25</v>
      </c>
      <c r="L43" s="43" t="s">
        <v>11</v>
      </c>
      <c r="M43" s="46" t="s">
        <v>254</v>
      </c>
      <c r="N43" s="42">
        <v>3000</v>
      </c>
      <c r="O43" s="46" t="s">
        <v>153</v>
      </c>
      <c r="P43" s="61" t="s">
        <v>229</v>
      </c>
    </row>
    <row r="44" spans="1:17" ht="20.100000000000001" customHeight="1">
      <c r="A44" s="7" t="s">
        <v>13</v>
      </c>
      <c r="B44" t="s">
        <v>130</v>
      </c>
      <c r="C44" s="8" t="s">
        <v>2</v>
      </c>
      <c r="D44" s="8" t="s">
        <v>6</v>
      </c>
      <c r="E44" s="1" t="s">
        <v>316</v>
      </c>
      <c r="F44" s="1" t="s">
        <v>317</v>
      </c>
      <c r="G44" s="1"/>
      <c r="H44" s="1"/>
      <c r="I44" s="8" t="s">
        <v>7</v>
      </c>
      <c r="J44" s="8" t="s">
        <v>6</v>
      </c>
      <c r="K44" s="8" t="s">
        <v>25</v>
      </c>
      <c r="L44" s="8" t="s">
        <v>11</v>
      </c>
      <c r="M44" s="4" t="s">
        <v>252</v>
      </c>
      <c r="N44" s="11">
        <v>6000</v>
      </c>
      <c r="O44" s="4" t="s">
        <v>153</v>
      </c>
      <c r="P44" s="25" t="s">
        <v>229</v>
      </c>
    </row>
    <row r="45" spans="1:17" ht="20.100000000000001" customHeight="1">
      <c r="A45" s="40" t="s">
        <v>14</v>
      </c>
      <c r="B45" s="41" t="s">
        <v>133</v>
      </c>
      <c r="C45" s="43" t="s">
        <v>2</v>
      </c>
      <c r="D45" s="43" t="s">
        <v>6</v>
      </c>
      <c r="E45" s="44" t="s">
        <v>302</v>
      </c>
      <c r="F45" s="44" t="s">
        <v>318</v>
      </c>
      <c r="G45" s="44"/>
      <c r="H45" s="44"/>
      <c r="I45" s="43" t="s">
        <v>7</v>
      </c>
      <c r="J45" s="43" t="s">
        <v>6</v>
      </c>
      <c r="K45" s="43" t="s">
        <v>25</v>
      </c>
      <c r="L45" s="43" t="s">
        <v>11</v>
      </c>
      <c r="M45" s="61" t="s">
        <v>261</v>
      </c>
      <c r="N45" s="70">
        <v>4400</v>
      </c>
      <c r="O45" s="46" t="s">
        <v>153</v>
      </c>
      <c r="P45" s="61" t="s">
        <v>229</v>
      </c>
    </row>
    <row r="46" spans="1:17" s="25" customFormat="1" ht="20.100000000000001" customHeight="1">
      <c r="A46" s="7" t="s">
        <v>15</v>
      </c>
      <c r="B46" t="s">
        <v>385</v>
      </c>
      <c r="C46" s="8" t="s">
        <v>2</v>
      </c>
      <c r="D46" s="8" t="s">
        <v>6</v>
      </c>
      <c r="E46" s="1" t="s">
        <v>302</v>
      </c>
      <c r="F46" s="1" t="s">
        <v>388</v>
      </c>
      <c r="G46" s="8" t="s">
        <v>389</v>
      </c>
      <c r="H46" s="1"/>
      <c r="I46" s="8" t="s">
        <v>7</v>
      </c>
      <c r="J46" s="8" t="s">
        <v>6</v>
      </c>
      <c r="K46" s="8" t="s">
        <v>25</v>
      </c>
      <c r="L46" s="8" t="s">
        <v>11</v>
      </c>
      <c r="M46" s="25" t="s">
        <v>396</v>
      </c>
      <c r="N46" s="11"/>
      <c r="O46" s="4" t="s">
        <v>153</v>
      </c>
      <c r="P46" s="25" t="s">
        <v>229</v>
      </c>
    </row>
    <row r="47" spans="1:17" ht="20.100000000000001" customHeight="1">
      <c r="F47" s="6"/>
    </row>
    <row r="48" spans="1:17" ht="20.100000000000001" customHeight="1">
      <c r="C48" s="87" t="s">
        <v>206</v>
      </c>
      <c r="E48" s="66" t="s">
        <v>208</v>
      </c>
    </row>
    <row r="49" spans="1:14" ht="20.100000000000001" customHeight="1">
      <c r="A49" s="74" t="s">
        <v>282</v>
      </c>
      <c r="B49" s="6"/>
      <c r="E49" s="6"/>
      <c r="J49" s="4" t="s">
        <v>634</v>
      </c>
      <c r="N49" s="6"/>
    </row>
    <row r="50" spans="1:14" ht="20.100000000000001" customHeight="1">
      <c r="A50" s="74" t="s">
        <v>283</v>
      </c>
      <c r="H50" s="7"/>
    </row>
    <row r="51" spans="1:14" ht="20.100000000000001" customHeight="1">
      <c r="A51" s="74" t="s">
        <v>284</v>
      </c>
      <c r="G51" s="74" t="s">
        <v>285</v>
      </c>
    </row>
    <row r="53" spans="1:14" ht="20.100000000000001" customHeight="1">
      <c r="A53" s="74" t="s">
        <v>482</v>
      </c>
      <c r="B53" s="6"/>
      <c r="C53" s="4" t="s">
        <v>483</v>
      </c>
      <c r="N53" s="6"/>
    </row>
    <row r="54" spans="1:14" ht="20.100000000000001" customHeight="1">
      <c r="A54" s="74" t="s">
        <v>484</v>
      </c>
      <c r="C54" s="4" t="s">
        <v>485</v>
      </c>
    </row>
    <row r="57" spans="1:14" ht="20.100000000000001" customHeight="1">
      <c r="H57" s="6"/>
      <c r="N57" s="6"/>
    </row>
    <row r="61" spans="1:14" ht="20.100000000000001" customHeight="1">
      <c r="H61" s="6"/>
      <c r="N61" s="6"/>
    </row>
    <row r="65" spans="6:14" ht="20.100000000000001" customHeight="1">
      <c r="N65" s="6"/>
    </row>
    <row r="69" spans="6:14" ht="20.100000000000001" customHeight="1">
      <c r="N69" s="6"/>
    </row>
    <row r="73" spans="6:14" ht="20.100000000000001" customHeight="1">
      <c r="F73" s="10"/>
      <c r="N73" s="6"/>
    </row>
    <row r="78" spans="6:14" ht="20.100000000000001" customHeight="1">
      <c r="F78" s="6"/>
    </row>
  </sheetData>
  <customSheetViews>
    <customSheetView guid="{569C1088-C035-4C56-B055-7F9ECA012A09}" scale="120" showRuler="0">
      <selection activeCell="N7" sqref="N7"/>
      <pageMargins left="0.75" right="0.75" top="1" bottom="1" header="0.5" footer="0.5"/>
      <pageSetup paperSize="9" orientation="landscape" horizontalDpi="0" verticalDpi="0" r:id="rId1"/>
      <headerFooter alignWithMargins="0"/>
    </customSheetView>
  </customSheetViews>
  <phoneticPr fontId="3" type="noConversion"/>
  <hyperlinks>
    <hyperlink ref="C5" r:id="rId2"/>
    <hyperlink ref="C8" r:id="rId3"/>
    <hyperlink ref="D7" r:id="rId4"/>
    <hyperlink ref="L7" r:id="rId5"/>
    <hyperlink ref="D8" r:id="rId6"/>
    <hyperlink ref="L8" r:id="rId7"/>
    <hyperlink ref="I11" r:id="rId8"/>
    <hyperlink ref="I12" r:id="rId9" display="Larmlista"/>
    <hyperlink ref="C12" r:id="rId10"/>
    <hyperlink ref="C11" r:id="rId11"/>
    <hyperlink ref="C10" r:id="rId12"/>
    <hyperlink ref="C6" r:id="rId13"/>
    <hyperlink ref="D12" r:id="rId14"/>
    <hyperlink ref="D11" r:id="rId15"/>
    <hyperlink ref="D10" r:id="rId16"/>
    <hyperlink ref="D6" r:id="rId17"/>
    <hyperlink ref="D5" r:id="rId18"/>
    <hyperlink ref="I5" r:id="rId19" display="Larmlista"/>
    <hyperlink ref="I6" r:id="rId20"/>
    <hyperlink ref="I7" r:id="rId21"/>
    <hyperlink ref="I8" r:id="rId22" display="Larmlista"/>
    <hyperlink ref="I10" r:id="rId23" display="Larmlista"/>
    <hyperlink ref="J11" r:id="rId24"/>
    <hyperlink ref="J12" r:id="rId25"/>
    <hyperlink ref="J5" r:id="rId26"/>
    <hyperlink ref="J6" r:id="rId27"/>
    <hyperlink ref="J7" r:id="rId28"/>
    <hyperlink ref="J8" r:id="rId29"/>
    <hyperlink ref="J10" r:id="rId30"/>
    <hyperlink ref="F11" r:id="rId31"/>
    <hyperlink ref="F10" r:id="rId32"/>
    <hyperlink ref="F5" r:id="rId33" display="Radiator"/>
    <hyperlink ref="G5" r:id="rId34" display="Ventilation"/>
    <hyperlink ref="F6" r:id="rId35"/>
    <hyperlink ref="G6" r:id="rId36"/>
    <hyperlink ref="F8" r:id="rId37"/>
    <hyperlink ref="F7" r:id="rId38"/>
    <hyperlink ref="G7" r:id="rId39"/>
    <hyperlink ref="G8" r:id="rId40" display="Radiator gata (norr)"/>
    <hyperlink ref="H8" r:id="rId41" display="Radiator Gård (söder)"/>
    <hyperlink ref="E5" r:id="rId42" display="TappVV 81 kW"/>
    <hyperlink ref="E6" r:id="rId43"/>
    <hyperlink ref="E7" r:id="rId44"/>
    <hyperlink ref="E8" r:id="rId45"/>
    <hyperlink ref="E10" r:id="rId46" display="TappVV"/>
    <hyperlink ref="E11" r:id="rId47"/>
    <hyperlink ref="E12" r:id="rId48" display="TappVV"/>
    <hyperlink ref="K5" r:id="rId49"/>
    <hyperlink ref="K7" r:id="rId50"/>
    <hyperlink ref="K8" r:id="rId51"/>
    <hyperlink ref="K6" r:id="rId52"/>
    <hyperlink ref="K10" r:id="rId53"/>
    <hyperlink ref="K11" r:id="rId54"/>
    <hyperlink ref="K12" r:id="rId55"/>
    <hyperlink ref="I13" r:id="rId56"/>
    <hyperlink ref="D13" r:id="rId57"/>
    <hyperlink ref="J13" r:id="rId58"/>
    <hyperlink ref="F13" r:id="rId59"/>
    <hyperlink ref="E13" r:id="rId60"/>
    <hyperlink ref="K13" r:id="rId61"/>
    <hyperlink ref="I14" r:id="rId62"/>
    <hyperlink ref="C14" r:id="rId63"/>
    <hyperlink ref="D14" r:id="rId64"/>
    <hyperlink ref="J14" r:id="rId65"/>
    <hyperlink ref="F14" r:id="rId66" display="Rad."/>
    <hyperlink ref="E14" r:id="rId67" display="TappVV"/>
    <hyperlink ref="K14" r:id="rId68"/>
    <hyperlink ref="C7" r:id="rId69"/>
    <hyperlink ref="C13" r:id="rId70"/>
    <hyperlink ref="G13" r:id="rId71"/>
    <hyperlink ref="B19" r:id="rId72"/>
    <hyperlink ref="O5" r:id="rId73"/>
    <hyperlink ref="O10" r:id="rId74"/>
    <hyperlink ref="C48" r:id="rId75"/>
    <hyperlink ref="I43" r:id="rId76"/>
    <hyperlink ref="C43" r:id="rId77"/>
    <hyperlink ref="D43" r:id="rId78"/>
    <hyperlink ref="J43" r:id="rId79"/>
    <hyperlink ref="F43" r:id="rId80" display="Rad. 147 kW"/>
    <hyperlink ref="E43" r:id="rId81" display="TappVV 104 kW"/>
    <hyperlink ref="K43" r:id="rId82"/>
    <hyperlink ref="I44" r:id="rId83"/>
    <hyperlink ref="C44" r:id="rId84"/>
    <hyperlink ref="D44" r:id="rId85"/>
    <hyperlink ref="J44" r:id="rId86"/>
    <hyperlink ref="F44" r:id="rId87" display="Rad. 147 kW"/>
    <hyperlink ref="E44" r:id="rId88" display="TappVV 104 kW"/>
    <hyperlink ref="K44" r:id="rId89"/>
    <hyperlink ref="I45" r:id="rId90"/>
    <hyperlink ref="C45" r:id="rId91"/>
    <hyperlink ref="D45" r:id="rId92"/>
    <hyperlink ref="J45" r:id="rId93"/>
    <hyperlink ref="F45" r:id="rId94" display="Rad. 147 kW"/>
    <hyperlink ref="E45" r:id="rId95" display="TappVV 104 kW"/>
    <hyperlink ref="K45" r:id="rId96"/>
    <hyperlink ref="F12" r:id="rId97" display="Rad. 155 kW"/>
    <hyperlink ref="L43" r:id="rId98"/>
    <hyperlink ref="L45" r:id="rId99"/>
    <hyperlink ref="L44" r:id="rId100"/>
    <hyperlink ref="I46" r:id="rId101"/>
    <hyperlink ref="C46" r:id="rId102"/>
    <hyperlink ref="D46" r:id="rId103"/>
    <hyperlink ref="J46" r:id="rId104"/>
    <hyperlink ref="F46" r:id="rId105" display="Rad. 457"/>
    <hyperlink ref="E46" r:id="rId106" display="TappVV 169"/>
    <hyperlink ref="K46" r:id="rId107"/>
    <hyperlink ref="L46" r:id="rId108"/>
    <hyperlink ref="G46" r:id="rId109"/>
    <hyperlink ref="C9" r:id="rId110"/>
    <hyperlink ref="D9" r:id="rId111"/>
    <hyperlink ref="I9" r:id="rId112"/>
    <hyperlink ref="J9" r:id="rId113"/>
    <hyperlink ref="F9" r:id="rId114"/>
    <hyperlink ref="E9" r:id="rId115"/>
    <hyperlink ref="K9" r:id="rId116"/>
    <hyperlink ref="L9" r:id="rId117"/>
    <hyperlink ref="H2" location="'Online data'!A1" display="Online data"/>
    <hyperlink ref="J2" r:id="rId118" display="Läsa online data från alla IQHeat centraler..."/>
    <hyperlink ref="E48" r:id="rId119" display="Hjälp lösenord"/>
  </hyperlinks>
  <pageMargins left="0.75" right="0.75" top="1" bottom="1" header="0.5" footer="0.5"/>
  <pageSetup paperSize="9" orientation="landscape" horizontalDpi="96" verticalDpi="96" r:id="rId120"/>
  <headerFooter alignWithMargins="0"/>
  <legacyDrawing r:id="rId121"/>
</worksheet>
</file>

<file path=xl/worksheets/sheet3.xml><?xml version="1.0" encoding="utf-8"?>
<worksheet xmlns="http://schemas.openxmlformats.org/spreadsheetml/2006/main" xmlns:r="http://schemas.openxmlformats.org/officeDocument/2006/relationships">
  <dimension ref="A1:L85"/>
  <sheetViews>
    <sheetView workbookViewId="0">
      <selection activeCell="D15" sqref="D15"/>
    </sheetView>
  </sheetViews>
  <sheetFormatPr defaultRowHeight="20.100000000000001" customHeight="1"/>
  <cols>
    <col min="1" max="1" width="9.140625" style="20"/>
    <col min="2" max="2" width="37.85546875" style="17" customWidth="1"/>
    <col min="3" max="3" width="25.140625" style="17" customWidth="1"/>
    <col min="4" max="4" width="27.28515625" style="18" customWidth="1"/>
    <col min="5" max="6" width="14.85546875" style="20" customWidth="1"/>
    <col min="7" max="7" width="21.28515625" style="20" customWidth="1"/>
    <col min="8" max="8" width="20.140625" style="20" customWidth="1"/>
    <col min="9" max="9" width="20" style="20" customWidth="1"/>
    <col min="10" max="10" width="14.140625" style="20" customWidth="1"/>
    <col min="11" max="11" width="23.140625" style="20" customWidth="1"/>
    <col min="12" max="12" width="11.42578125" style="20" customWidth="1"/>
    <col min="13" max="14" width="9.85546875" style="20" bestFit="1" customWidth="1"/>
    <col min="15" max="16384" width="9.140625" style="20"/>
  </cols>
  <sheetData>
    <row r="1" spans="1:12" ht="44.25" customHeight="1">
      <c r="A1" s="16" t="s">
        <v>41</v>
      </c>
      <c r="C1" s="17" t="s">
        <v>42</v>
      </c>
      <c r="D1" s="18" t="s">
        <v>43</v>
      </c>
      <c r="E1" s="18" t="s">
        <v>45</v>
      </c>
      <c r="F1" s="19" t="s">
        <v>44</v>
      </c>
      <c r="G1" s="26" t="s">
        <v>178</v>
      </c>
      <c r="H1" s="26" t="s">
        <v>176</v>
      </c>
      <c r="I1" s="26" t="s">
        <v>177</v>
      </c>
      <c r="J1" s="26" t="s">
        <v>184</v>
      </c>
    </row>
    <row r="2" spans="1:12" s="60" customFormat="1" ht="20.100000000000001" customHeight="1">
      <c r="A2" s="56" t="s">
        <v>193</v>
      </c>
      <c r="B2" s="57" t="s">
        <v>38</v>
      </c>
      <c r="C2" s="60" t="s">
        <v>77</v>
      </c>
      <c r="D2" s="59"/>
      <c r="F2" s="60" t="s">
        <v>78</v>
      </c>
      <c r="H2" s="56"/>
      <c r="I2" s="56"/>
      <c r="J2" s="56"/>
    </row>
    <row r="3" spans="1:12" s="10" customFormat="1" ht="20.100000000000001" customHeight="1">
      <c r="A3" s="26" t="s">
        <v>193</v>
      </c>
      <c r="B3" s="67"/>
      <c r="C3" s="10" t="s">
        <v>256</v>
      </c>
      <c r="D3" s="69"/>
      <c r="E3" s="10" t="s">
        <v>257</v>
      </c>
      <c r="F3" s="10" t="s">
        <v>258</v>
      </c>
      <c r="G3" s="10" t="s">
        <v>259</v>
      </c>
      <c r="H3" s="26"/>
      <c r="I3" s="26"/>
      <c r="J3" s="26"/>
    </row>
    <row r="4" spans="1:12" s="77" customFormat="1" ht="20.100000000000001" customHeight="1">
      <c r="A4" s="76" t="s">
        <v>193</v>
      </c>
      <c r="B4" s="90"/>
      <c r="C4" s="77" t="s">
        <v>330</v>
      </c>
      <c r="D4" s="78" t="s">
        <v>331</v>
      </c>
      <c r="E4" s="79" t="s">
        <v>332</v>
      </c>
      <c r="F4" s="79" t="s">
        <v>78</v>
      </c>
      <c r="G4" s="79" t="s">
        <v>333</v>
      </c>
      <c r="H4" s="76"/>
      <c r="I4" s="76"/>
      <c r="J4" s="76"/>
    </row>
    <row r="5" spans="1:12" ht="20.100000000000001" customHeight="1">
      <c r="A5" s="26" t="s">
        <v>193</v>
      </c>
      <c r="C5" s="20" t="s">
        <v>37</v>
      </c>
      <c r="D5" s="48" t="s">
        <v>40</v>
      </c>
      <c r="E5" s="20" t="s">
        <v>39</v>
      </c>
      <c r="F5" s="23" t="s">
        <v>78</v>
      </c>
      <c r="G5" s="77" t="s">
        <v>84</v>
      </c>
      <c r="H5" s="26"/>
      <c r="I5" s="26"/>
      <c r="J5" s="26"/>
    </row>
    <row r="6" spans="1:12" ht="20.100000000000001" customHeight="1">
      <c r="A6" s="26" t="s">
        <v>193</v>
      </c>
      <c r="C6" s="20" t="s">
        <v>551</v>
      </c>
      <c r="D6" s="48" t="s">
        <v>550</v>
      </c>
      <c r="E6" s="10"/>
      <c r="G6" s="10"/>
      <c r="H6" s="26"/>
      <c r="I6" s="26"/>
      <c r="J6" s="26"/>
    </row>
    <row r="7" spans="1:12" ht="20.100000000000001" customHeight="1">
      <c r="A7" s="26" t="s">
        <v>193</v>
      </c>
      <c r="C7" s="20" t="s">
        <v>83</v>
      </c>
      <c r="D7" s="48" t="s">
        <v>144</v>
      </c>
      <c r="E7" s="10" t="s">
        <v>82</v>
      </c>
      <c r="G7" s="20" t="s">
        <v>159</v>
      </c>
      <c r="H7" s="26"/>
      <c r="I7" s="26"/>
      <c r="J7" s="26"/>
    </row>
    <row r="8" spans="1:12" s="60" customFormat="1" ht="20.100000000000001" customHeight="1">
      <c r="A8" s="56" t="s">
        <v>218</v>
      </c>
      <c r="B8" s="60" t="s">
        <v>63</v>
      </c>
      <c r="C8" s="60" t="s">
        <v>62</v>
      </c>
      <c r="D8" s="62" t="s">
        <v>19</v>
      </c>
      <c r="E8" s="60" t="s">
        <v>46</v>
      </c>
      <c r="F8" s="60" t="s">
        <v>47</v>
      </c>
    </row>
    <row r="9" spans="1:12" ht="12.75">
      <c r="A9" s="20" t="s">
        <v>218</v>
      </c>
      <c r="C9" s="20" t="s">
        <v>179</v>
      </c>
      <c r="D9" s="53" t="s">
        <v>203</v>
      </c>
      <c r="F9" s="20" t="s">
        <v>47</v>
      </c>
      <c r="G9" s="20" t="s">
        <v>180</v>
      </c>
    </row>
    <row r="10" spans="1:12" ht="12.75">
      <c r="A10" s="20" t="s">
        <v>218</v>
      </c>
      <c r="C10" s="20" t="s">
        <v>182</v>
      </c>
      <c r="D10" s="24"/>
      <c r="F10" s="20" t="s">
        <v>183</v>
      </c>
    </row>
    <row r="11" spans="1:12" s="60" customFormat="1" ht="20.100000000000001" customHeight="1">
      <c r="A11" s="56" t="s">
        <v>219</v>
      </c>
      <c r="B11" s="79" t="s">
        <v>334</v>
      </c>
      <c r="C11" s="80" t="s">
        <v>335</v>
      </c>
      <c r="D11" s="81" t="s">
        <v>336</v>
      </c>
    </row>
    <row r="12" spans="1:12" s="77" customFormat="1" ht="20.100000000000001" customHeight="1">
      <c r="A12" s="77" t="s">
        <v>219</v>
      </c>
      <c r="B12" s="79"/>
      <c r="C12" s="79" t="s">
        <v>337</v>
      </c>
      <c r="D12" s="81" t="s">
        <v>74</v>
      </c>
      <c r="F12" s="77" t="s">
        <v>338</v>
      </c>
    </row>
    <row r="13" spans="1:12" s="60" customFormat="1" ht="20.100000000000001" customHeight="1">
      <c r="A13" s="56" t="s">
        <v>221</v>
      </c>
      <c r="B13" s="60" t="s">
        <v>23</v>
      </c>
      <c r="C13" s="60" t="s">
        <v>51</v>
      </c>
      <c r="D13" s="82" t="s">
        <v>524</v>
      </c>
      <c r="E13" s="60" t="s">
        <v>52</v>
      </c>
      <c r="F13" s="60" t="s">
        <v>50</v>
      </c>
    </row>
    <row r="14" spans="1:12" ht="20.100000000000001" customHeight="1">
      <c r="B14" s="23" t="s">
        <v>339</v>
      </c>
      <c r="C14" s="20" t="s">
        <v>136</v>
      </c>
      <c r="D14" s="53" t="s">
        <v>340</v>
      </c>
      <c r="E14" s="20" t="s">
        <v>341</v>
      </c>
      <c r="F14" s="20" t="s">
        <v>342</v>
      </c>
      <c r="G14" s="10" t="s">
        <v>343</v>
      </c>
      <c r="L14" s="22"/>
    </row>
    <row r="15" spans="1:12" s="60" customFormat="1" ht="20.100000000000001" customHeight="1">
      <c r="A15" s="56" t="s">
        <v>222</v>
      </c>
      <c r="B15" s="60" t="s">
        <v>31</v>
      </c>
      <c r="C15" s="60" t="s">
        <v>51</v>
      </c>
      <c r="D15" s="82" t="s">
        <v>524</v>
      </c>
      <c r="E15" s="60" t="s">
        <v>52</v>
      </c>
      <c r="F15" s="60" t="s">
        <v>528</v>
      </c>
      <c r="G15" s="60" t="s">
        <v>50</v>
      </c>
      <c r="H15" s="60" t="s">
        <v>238</v>
      </c>
      <c r="I15" s="60" t="s">
        <v>239</v>
      </c>
    </row>
    <row r="16" spans="1:12" ht="20.100000000000001" customHeight="1">
      <c r="B16" s="23" t="s">
        <v>339</v>
      </c>
      <c r="C16" s="20" t="s">
        <v>136</v>
      </c>
      <c r="D16" s="53" t="s">
        <v>340</v>
      </c>
      <c r="E16" s="20" t="s">
        <v>341</v>
      </c>
      <c r="F16" s="20" t="s">
        <v>342</v>
      </c>
      <c r="G16" s="10" t="s">
        <v>343</v>
      </c>
      <c r="L16" s="22"/>
    </row>
    <row r="17" spans="1:12" ht="20.100000000000001" customHeight="1">
      <c r="B17" s="23"/>
      <c r="C17" s="20" t="s">
        <v>402</v>
      </c>
      <c r="D17" s="53" t="s">
        <v>521</v>
      </c>
      <c r="E17" s="20" t="s">
        <v>403</v>
      </c>
      <c r="G17" s="10"/>
      <c r="L17" s="22"/>
    </row>
    <row r="18" spans="1:12" s="10" customFormat="1" ht="20.100000000000001" customHeight="1">
      <c r="A18" s="26" t="s">
        <v>472</v>
      </c>
      <c r="B18" s="10" t="s">
        <v>135</v>
      </c>
      <c r="C18" s="10" t="s">
        <v>523</v>
      </c>
      <c r="D18" s="99" t="s">
        <v>522</v>
      </c>
      <c r="E18" s="10" t="s">
        <v>473</v>
      </c>
      <c r="F18" s="10" t="s">
        <v>474</v>
      </c>
      <c r="L18" s="87"/>
    </row>
    <row r="19" spans="1:12" ht="20.100000000000001" customHeight="1">
      <c r="B19" s="23"/>
      <c r="C19" s="20"/>
      <c r="D19" s="53"/>
      <c r="G19" s="10"/>
      <c r="L19" s="22"/>
    </row>
    <row r="20" spans="1:12" s="60" customFormat="1" ht="20.100000000000001" customHeight="1">
      <c r="A20" s="56" t="s">
        <v>223</v>
      </c>
      <c r="B20" s="60" t="s">
        <v>21</v>
      </c>
      <c r="C20" s="60" t="s">
        <v>53</v>
      </c>
      <c r="D20" s="54" t="s">
        <v>68</v>
      </c>
      <c r="E20" s="60" t="s">
        <v>33</v>
      </c>
      <c r="G20" s="60" t="s">
        <v>195</v>
      </c>
    </row>
    <row r="21" spans="1:12" s="77" customFormat="1" ht="20.100000000000001" customHeight="1">
      <c r="A21" s="77" t="s">
        <v>223</v>
      </c>
      <c r="B21" s="17"/>
      <c r="C21" s="77" t="s">
        <v>344</v>
      </c>
      <c r="D21" s="78" t="s">
        <v>345</v>
      </c>
      <c r="E21" s="79" t="s">
        <v>346</v>
      </c>
      <c r="G21" s="77" t="s">
        <v>182</v>
      </c>
      <c r="L21" s="78"/>
    </row>
    <row r="22" spans="1:12" ht="20.100000000000001" customHeight="1">
      <c r="A22" s="10" t="s">
        <v>223</v>
      </c>
      <c r="C22" s="20" t="s">
        <v>347</v>
      </c>
      <c r="D22" s="22" t="s">
        <v>348</v>
      </c>
      <c r="E22" s="20" t="s">
        <v>57</v>
      </c>
    </row>
    <row r="23" spans="1:12" s="60" customFormat="1" ht="20.100000000000001" customHeight="1">
      <c r="A23" s="56" t="s">
        <v>220</v>
      </c>
      <c r="B23" s="65" t="s">
        <v>0</v>
      </c>
      <c r="C23" s="60" t="s">
        <v>172</v>
      </c>
      <c r="D23" s="82" t="s">
        <v>349</v>
      </c>
      <c r="E23" s="60" t="s">
        <v>171</v>
      </c>
    </row>
    <row r="24" spans="1:12" s="47" customFormat="1" ht="20.100000000000001" customHeight="1">
      <c r="A24" s="20" t="s">
        <v>220</v>
      </c>
      <c r="B24" s="91"/>
      <c r="C24" s="23" t="s">
        <v>116</v>
      </c>
      <c r="D24" s="83" t="s">
        <v>59</v>
      </c>
      <c r="E24" s="20" t="s">
        <v>60</v>
      </c>
      <c r="F24" s="20" t="s">
        <v>61</v>
      </c>
    </row>
    <row r="25" spans="1:12" s="60" customFormat="1" ht="20.100000000000001" customHeight="1">
      <c r="A25" s="56" t="s">
        <v>224</v>
      </c>
      <c r="B25" s="65" t="s">
        <v>197</v>
      </c>
      <c r="C25" s="60" t="s">
        <v>26</v>
      </c>
      <c r="D25" s="54" t="s">
        <v>350</v>
      </c>
      <c r="E25" s="60" t="s">
        <v>22</v>
      </c>
      <c r="G25" s="60" t="s">
        <v>189</v>
      </c>
    </row>
    <row r="26" spans="1:12" ht="20.100000000000001" customHeight="1">
      <c r="D26" s="24"/>
    </row>
    <row r="27" spans="1:12" s="60" customFormat="1" ht="20.100000000000001" customHeight="1">
      <c r="A27" s="56" t="s">
        <v>225</v>
      </c>
      <c r="B27" s="58" t="s">
        <v>69</v>
      </c>
      <c r="C27" s="60" t="s">
        <v>73</v>
      </c>
      <c r="D27" s="82" t="s">
        <v>74</v>
      </c>
      <c r="F27" s="60" t="s">
        <v>49</v>
      </c>
      <c r="H27" s="60" t="s">
        <v>174</v>
      </c>
      <c r="I27" s="60" t="s">
        <v>175</v>
      </c>
      <c r="J27" s="60" t="s">
        <v>185</v>
      </c>
    </row>
    <row r="28" spans="1:12" s="77" customFormat="1" ht="20.100000000000001" customHeight="1">
      <c r="A28" s="76"/>
      <c r="B28" s="79"/>
      <c r="C28" s="77" t="s">
        <v>351</v>
      </c>
      <c r="D28" s="81" t="s">
        <v>336</v>
      </c>
      <c r="E28" s="77" t="s">
        <v>352</v>
      </c>
      <c r="F28" s="77" t="s">
        <v>353</v>
      </c>
    </row>
    <row r="29" spans="1:12" s="77" customFormat="1" ht="20.100000000000001" customHeight="1">
      <c r="A29" s="76"/>
      <c r="B29" s="79"/>
      <c r="C29" s="77" t="s">
        <v>469</v>
      </c>
      <c r="D29" s="81"/>
      <c r="E29" s="77" t="s">
        <v>470</v>
      </c>
    </row>
    <row r="30" spans="1:12" s="60" customFormat="1" ht="20.100000000000001" customHeight="1">
      <c r="A30" s="56" t="s">
        <v>226</v>
      </c>
      <c r="B30" s="58" t="s">
        <v>67</v>
      </c>
      <c r="C30" s="60" t="s">
        <v>119</v>
      </c>
      <c r="D30" s="63" t="s">
        <v>181</v>
      </c>
      <c r="E30" s="60" t="s">
        <v>72</v>
      </c>
    </row>
    <row r="31" spans="1:12" ht="20.100000000000001" customHeight="1">
      <c r="C31" s="20" t="s">
        <v>71</v>
      </c>
      <c r="D31" s="24"/>
      <c r="E31" s="20" t="s">
        <v>70</v>
      </c>
    </row>
    <row r="32" spans="1:12" s="60" customFormat="1" ht="20.100000000000001" customHeight="1">
      <c r="A32" s="56" t="s">
        <v>87</v>
      </c>
      <c r="B32" s="58" t="s">
        <v>88</v>
      </c>
      <c r="C32" s="60" t="s">
        <v>89</v>
      </c>
      <c r="D32" s="62" t="s">
        <v>93</v>
      </c>
      <c r="E32" s="60" t="s">
        <v>86</v>
      </c>
      <c r="F32" s="60" t="s">
        <v>91</v>
      </c>
      <c r="J32" s="60" t="s">
        <v>249</v>
      </c>
    </row>
    <row r="33" spans="1:12" ht="20.100000000000001" customHeight="1">
      <c r="C33" s="20" t="s">
        <v>90</v>
      </c>
      <c r="D33" s="48" t="s">
        <v>96</v>
      </c>
      <c r="E33" s="20" t="s">
        <v>237</v>
      </c>
    </row>
    <row r="34" spans="1:12" ht="20.100000000000001" customHeight="1">
      <c r="C34" s="10" t="s">
        <v>95</v>
      </c>
      <c r="D34" s="24"/>
      <c r="E34" s="20" t="s">
        <v>94</v>
      </c>
      <c r="F34" s="20" t="s">
        <v>92</v>
      </c>
    </row>
    <row r="35" spans="1:12" s="60" customFormat="1" ht="20.100000000000001" customHeight="1">
      <c r="A35" s="56" t="s">
        <v>194</v>
      </c>
      <c r="B35" s="60" t="s">
        <v>105</v>
      </c>
      <c r="C35" s="60" t="s">
        <v>106</v>
      </c>
      <c r="D35" s="54" t="s">
        <v>190</v>
      </c>
      <c r="E35" s="60" t="s">
        <v>215</v>
      </c>
    </row>
    <row r="36" spans="1:12" ht="20.100000000000001" customHeight="1">
      <c r="B36" s="20"/>
      <c r="C36" s="20"/>
      <c r="D36" s="20"/>
    </row>
    <row r="37" spans="1:12" s="60" customFormat="1" ht="20.100000000000001" customHeight="1">
      <c r="A37" s="56" t="s">
        <v>214</v>
      </c>
      <c r="B37" s="60" t="s">
        <v>211</v>
      </c>
      <c r="C37" s="60" t="s">
        <v>128</v>
      </c>
      <c r="D37" s="54" t="s">
        <v>354</v>
      </c>
      <c r="E37" s="60" t="s">
        <v>227</v>
      </c>
    </row>
    <row r="38" spans="1:12" ht="20.100000000000001" customHeight="1">
      <c r="B38" s="23" t="s">
        <v>339</v>
      </c>
      <c r="C38" s="20" t="s">
        <v>136</v>
      </c>
      <c r="D38" s="53" t="s">
        <v>340</v>
      </c>
      <c r="E38" s="20" t="s">
        <v>341</v>
      </c>
      <c r="F38" s="20" t="s">
        <v>342</v>
      </c>
      <c r="G38" s="10" t="s">
        <v>355</v>
      </c>
      <c r="L38" s="22"/>
    </row>
    <row r="39" spans="1:12" s="60" customFormat="1" ht="20.100000000000001" customHeight="1">
      <c r="A39" s="56" t="s">
        <v>216</v>
      </c>
      <c r="B39" s="60" t="s">
        <v>142</v>
      </c>
      <c r="C39" s="60" t="s">
        <v>114</v>
      </c>
      <c r="D39" s="54" t="s">
        <v>201</v>
      </c>
      <c r="E39" s="60" t="s">
        <v>217</v>
      </c>
      <c r="G39" s="54" t="s">
        <v>209</v>
      </c>
    </row>
    <row r="40" spans="1:12" ht="20.100000000000001" customHeight="1">
      <c r="B40" s="23" t="s">
        <v>339</v>
      </c>
      <c r="C40" s="20" t="s">
        <v>136</v>
      </c>
      <c r="D40" s="53" t="s">
        <v>340</v>
      </c>
      <c r="E40" s="20" t="s">
        <v>341</v>
      </c>
      <c r="F40" s="20" t="s">
        <v>342</v>
      </c>
      <c r="G40" s="10" t="s">
        <v>343</v>
      </c>
      <c r="L40" s="22"/>
    </row>
    <row r="41" spans="1:12" ht="20.100000000000001" customHeight="1">
      <c r="A41" s="56" t="s">
        <v>356</v>
      </c>
      <c r="B41" s="60" t="s">
        <v>262</v>
      </c>
      <c r="C41" s="60" t="s">
        <v>51</v>
      </c>
      <c r="D41" s="63" t="s">
        <v>24</v>
      </c>
      <c r="E41" s="60" t="s">
        <v>52</v>
      </c>
      <c r="F41" s="60" t="s">
        <v>50</v>
      </c>
    </row>
    <row r="42" spans="1:12" ht="20.100000000000001" customHeight="1">
      <c r="B42" s="23" t="s">
        <v>339</v>
      </c>
      <c r="C42" s="20" t="s">
        <v>136</v>
      </c>
      <c r="D42" s="53" t="s">
        <v>340</v>
      </c>
      <c r="E42" s="20" t="s">
        <v>341</v>
      </c>
      <c r="F42" s="20" t="s">
        <v>342</v>
      </c>
      <c r="G42" s="10" t="s">
        <v>343</v>
      </c>
      <c r="L42" s="22"/>
    </row>
    <row r="43" spans="1:12" s="60" customFormat="1" ht="20.100000000000001" customHeight="1">
      <c r="A43" s="56" t="s">
        <v>357</v>
      </c>
      <c r="B43" s="60" t="s">
        <v>139</v>
      </c>
      <c r="C43" s="60" t="s">
        <v>140</v>
      </c>
      <c r="D43" s="82" t="s">
        <v>358</v>
      </c>
      <c r="E43" s="60" t="s">
        <v>359</v>
      </c>
    </row>
    <row r="44" spans="1:12" ht="20.100000000000001" customHeight="1">
      <c r="D44" s="24"/>
    </row>
    <row r="45" spans="1:12" s="60" customFormat="1" ht="20.100000000000001" customHeight="1">
      <c r="A45" s="56" t="s">
        <v>360</v>
      </c>
      <c r="B45" s="60" t="s">
        <v>290</v>
      </c>
      <c r="C45" s="84"/>
      <c r="D45" s="82"/>
    </row>
    <row r="46" spans="1:12" ht="20.100000000000001" customHeight="1">
      <c r="B46" s="23" t="s">
        <v>361</v>
      </c>
      <c r="C46" s="23" t="s">
        <v>362</v>
      </c>
      <c r="D46" s="53" t="s">
        <v>363</v>
      </c>
      <c r="E46" s="68" t="s">
        <v>364</v>
      </c>
    </row>
    <row r="47" spans="1:12" ht="20.100000000000001" customHeight="1">
      <c r="B47" s="23" t="s">
        <v>365</v>
      </c>
      <c r="C47" s="23" t="s">
        <v>366</v>
      </c>
      <c r="D47" s="53" t="s">
        <v>367</v>
      </c>
      <c r="E47" s="20" t="s">
        <v>368</v>
      </c>
      <c r="F47" s="10" t="s">
        <v>626</v>
      </c>
    </row>
    <row r="48" spans="1:12" ht="20.100000000000001" customHeight="1">
      <c r="B48" s="23" t="s">
        <v>369</v>
      </c>
      <c r="C48" s="23" t="s">
        <v>370</v>
      </c>
      <c r="D48" s="49" t="s">
        <v>371</v>
      </c>
      <c r="E48" s="68" t="s">
        <v>372</v>
      </c>
    </row>
    <row r="49" spans="1:8" ht="20.100000000000001" customHeight="1">
      <c r="B49" s="23"/>
      <c r="C49" s="23"/>
      <c r="D49" s="49"/>
      <c r="E49" s="68"/>
    </row>
    <row r="50" spans="1:8" ht="20.100000000000001" customHeight="1">
      <c r="A50" s="56" t="s">
        <v>373</v>
      </c>
      <c r="B50" s="23" t="s">
        <v>374</v>
      </c>
      <c r="C50" s="20" t="s">
        <v>375</v>
      </c>
      <c r="D50" s="53" t="s">
        <v>376</v>
      </c>
      <c r="E50" s="20" t="s">
        <v>377</v>
      </c>
    </row>
    <row r="51" spans="1:8" ht="20.100000000000001" customHeight="1">
      <c r="A51" s="19"/>
      <c r="B51" s="22"/>
      <c r="C51" s="85" t="s">
        <v>378</v>
      </c>
      <c r="D51" s="53" t="s">
        <v>379</v>
      </c>
      <c r="E51" s="20" t="s">
        <v>380</v>
      </c>
      <c r="F51" s="20" t="s">
        <v>625</v>
      </c>
    </row>
    <row r="52" spans="1:8" ht="20.100000000000001" customHeight="1">
      <c r="A52" s="86"/>
      <c r="B52" s="10"/>
      <c r="C52" s="10"/>
      <c r="D52" s="10"/>
      <c r="E52" s="88"/>
      <c r="F52" s="89"/>
      <c r="G52" s="89"/>
      <c r="H52" s="22"/>
    </row>
    <row r="53" spans="1:8" ht="20.100000000000001" customHeight="1">
      <c r="B53" s="86" t="s">
        <v>557</v>
      </c>
      <c r="C53" s="10" t="s">
        <v>548</v>
      </c>
      <c r="D53" s="71" t="s">
        <v>552</v>
      </c>
      <c r="E53" s="10" t="s">
        <v>549</v>
      </c>
      <c r="F53" s="89"/>
      <c r="G53" s="89"/>
    </row>
    <row r="54" spans="1:8" ht="20.100000000000001" customHeight="1">
      <c r="B54" s="86"/>
      <c r="C54" s="10"/>
      <c r="D54" s="71"/>
      <c r="E54" s="10"/>
      <c r="F54" s="89"/>
      <c r="G54" s="89"/>
    </row>
    <row r="55" spans="1:8" ht="20.100000000000001" customHeight="1">
      <c r="A55" s="20" t="s">
        <v>574</v>
      </c>
      <c r="B55" s="86" t="s">
        <v>575</v>
      </c>
      <c r="C55" s="10" t="s">
        <v>576</v>
      </c>
      <c r="D55" s="6" t="s">
        <v>577</v>
      </c>
      <c r="E55" s="10" t="s">
        <v>578</v>
      </c>
      <c r="F55" s="89"/>
      <c r="G55" s="89"/>
    </row>
    <row r="56" spans="1:8" ht="20.100000000000001" customHeight="1">
      <c r="A56" s="86"/>
      <c r="B56" s="10"/>
      <c r="C56" s="10"/>
      <c r="D56" s="71"/>
      <c r="E56" s="10"/>
      <c r="F56" s="89"/>
      <c r="G56" s="89"/>
    </row>
    <row r="57" spans="1:8" ht="20.100000000000001" customHeight="1">
      <c r="A57" s="86"/>
      <c r="B57" s="10" t="s">
        <v>560</v>
      </c>
      <c r="C57" s="10" t="s">
        <v>562</v>
      </c>
      <c r="D57" s="71" t="s">
        <v>561</v>
      </c>
      <c r="E57" s="10" t="s">
        <v>563</v>
      </c>
      <c r="F57" s="89"/>
      <c r="G57" s="89"/>
    </row>
    <row r="58" spans="1:8" ht="20.100000000000001" customHeight="1">
      <c r="A58" s="86"/>
      <c r="B58" s="10" t="s">
        <v>560</v>
      </c>
      <c r="C58" s="10" t="s">
        <v>559</v>
      </c>
      <c r="D58" s="71" t="s">
        <v>558</v>
      </c>
      <c r="E58" s="10"/>
      <c r="F58" s="89"/>
      <c r="G58" s="89"/>
    </row>
    <row r="59" spans="1:8" ht="20.100000000000001" customHeight="1">
      <c r="A59" s="86"/>
      <c r="B59" s="10" t="s">
        <v>560</v>
      </c>
      <c r="C59" s="10" t="s">
        <v>571</v>
      </c>
      <c r="D59" s="71" t="s">
        <v>592</v>
      </c>
      <c r="E59" s="20" t="s">
        <v>593</v>
      </c>
      <c r="F59" s="89"/>
      <c r="G59" s="89"/>
    </row>
    <row r="60" spans="1:8" ht="20.100000000000001" customHeight="1">
      <c r="A60" s="86"/>
      <c r="B60" s="10" t="s">
        <v>560</v>
      </c>
      <c r="C60" s="10" t="s">
        <v>571</v>
      </c>
      <c r="D60" s="10" t="s">
        <v>594</v>
      </c>
      <c r="E60" s="10" t="s">
        <v>595</v>
      </c>
      <c r="F60" s="89"/>
      <c r="G60" s="89"/>
    </row>
    <row r="61" spans="1:8" ht="20.100000000000001" customHeight="1">
      <c r="A61" s="86"/>
      <c r="B61" s="10"/>
      <c r="C61" s="10"/>
      <c r="D61" s="71"/>
      <c r="E61" s="10"/>
      <c r="F61" s="89"/>
      <c r="G61" s="89"/>
    </row>
    <row r="62" spans="1:8" ht="20.100000000000001" customHeight="1">
      <c r="B62" s="86" t="s">
        <v>553</v>
      </c>
      <c r="C62" s="10" t="s">
        <v>554</v>
      </c>
      <c r="D62" s="6" t="s">
        <v>556</v>
      </c>
      <c r="E62" s="10" t="s">
        <v>555</v>
      </c>
      <c r="F62" s="89"/>
      <c r="G62" s="89"/>
    </row>
    <row r="63" spans="1:8" ht="20.100000000000001" customHeight="1">
      <c r="B63" s="86" t="s">
        <v>553</v>
      </c>
      <c r="C63" s="10" t="s">
        <v>571</v>
      </c>
      <c r="D63" s="150" t="s">
        <v>573</v>
      </c>
      <c r="E63" s="10" t="s">
        <v>572</v>
      </c>
      <c r="F63" s="89"/>
      <c r="G63" s="89"/>
    </row>
    <row r="64" spans="1:8" ht="20.100000000000001" customHeight="1">
      <c r="A64" s="86"/>
      <c r="B64" s="86" t="s">
        <v>553</v>
      </c>
      <c r="C64" s="23" t="s">
        <v>559</v>
      </c>
      <c r="D64" s="87" t="s">
        <v>581</v>
      </c>
      <c r="E64" s="88" t="s">
        <v>566</v>
      </c>
      <c r="F64" s="89"/>
      <c r="G64" s="89"/>
    </row>
    <row r="65" spans="1:10" ht="20.100000000000001" customHeight="1">
      <c r="A65" s="86"/>
      <c r="B65" s="26" t="s">
        <v>255</v>
      </c>
      <c r="C65" s="10"/>
      <c r="D65" s="10"/>
      <c r="E65" s="88"/>
      <c r="F65" s="89"/>
      <c r="G65" s="89"/>
    </row>
    <row r="66" spans="1:10" s="60" customFormat="1" ht="20.100000000000001" customHeight="1">
      <c r="A66" s="56" t="s">
        <v>218</v>
      </c>
      <c r="B66" s="60" t="s">
        <v>260</v>
      </c>
      <c r="C66" s="60" t="s">
        <v>131</v>
      </c>
      <c r="D66" s="54" t="s">
        <v>279</v>
      </c>
      <c r="E66" s="60" t="s">
        <v>381</v>
      </c>
      <c r="F66" s="60" t="s">
        <v>382</v>
      </c>
      <c r="G66" s="60" t="s">
        <v>383</v>
      </c>
    </row>
    <row r="67" spans="1:10" ht="20.100000000000001" customHeight="1">
      <c r="A67" s="86"/>
      <c r="B67" s="10"/>
      <c r="C67" s="10" t="s">
        <v>401</v>
      </c>
      <c r="D67" s="87" t="s">
        <v>400</v>
      </c>
      <c r="E67" s="88" t="s">
        <v>397</v>
      </c>
      <c r="F67" s="89"/>
      <c r="G67" s="89" t="s">
        <v>182</v>
      </c>
      <c r="H67" s="22"/>
    </row>
    <row r="68" spans="1:10" ht="20.100000000000001" customHeight="1">
      <c r="A68" s="86"/>
      <c r="B68" s="10"/>
      <c r="C68" s="10"/>
      <c r="D68" s="87"/>
      <c r="E68" s="88" t="s">
        <v>387</v>
      </c>
      <c r="F68" s="89"/>
      <c r="G68" s="89" t="s">
        <v>386</v>
      </c>
      <c r="H68" s="22"/>
    </row>
    <row r="69" spans="1:10" s="60" customFormat="1" ht="20.100000000000001" customHeight="1">
      <c r="A69" s="56" t="s">
        <v>219</v>
      </c>
      <c r="B69" s="60" t="s">
        <v>130</v>
      </c>
      <c r="C69" s="60" t="s">
        <v>131</v>
      </c>
      <c r="D69" s="54" t="s">
        <v>279</v>
      </c>
      <c r="E69" s="60" t="s">
        <v>381</v>
      </c>
      <c r="F69" s="60" t="s">
        <v>382</v>
      </c>
      <c r="G69" s="60" t="s">
        <v>383</v>
      </c>
    </row>
    <row r="70" spans="1:10" ht="20.100000000000001" customHeight="1">
      <c r="A70" s="86"/>
      <c r="B70" s="10"/>
      <c r="C70" s="10"/>
      <c r="D70" s="10"/>
      <c r="E70" s="88"/>
      <c r="F70" s="89"/>
      <c r="G70" s="89"/>
      <c r="J70" s="10"/>
    </row>
    <row r="71" spans="1:10" s="60" customFormat="1" ht="20.100000000000001" customHeight="1">
      <c r="A71" s="56" t="s">
        <v>221</v>
      </c>
      <c r="B71" s="60" t="s">
        <v>384</v>
      </c>
      <c r="C71" s="60" t="s">
        <v>131</v>
      </c>
      <c r="D71" s="54" t="s">
        <v>279</v>
      </c>
      <c r="E71" s="60" t="s">
        <v>381</v>
      </c>
      <c r="F71" s="60" t="s">
        <v>382</v>
      </c>
      <c r="G71" s="60" t="s">
        <v>383</v>
      </c>
    </row>
    <row r="72" spans="1:10" ht="20.100000000000001" customHeight="1">
      <c r="A72" s="86"/>
      <c r="B72" s="10"/>
      <c r="C72" s="10"/>
      <c r="D72" s="10"/>
      <c r="E72" s="88"/>
      <c r="F72" s="89"/>
      <c r="G72" s="89"/>
    </row>
    <row r="73" spans="1:10" s="60" customFormat="1" ht="20.100000000000001" customHeight="1">
      <c r="A73" s="56" t="s">
        <v>222</v>
      </c>
      <c r="B73" s="60" t="s">
        <v>385</v>
      </c>
      <c r="C73" s="60" t="s">
        <v>131</v>
      </c>
      <c r="D73" s="54" t="s">
        <v>279</v>
      </c>
      <c r="E73" s="60" t="s">
        <v>381</v>
      </c>
      <c r="F73" s="60" t="s">
        <v>382</v>
      </c>
      <c r="G73" s="60" t="s">
        <v>383</v>
      </c>
      <c r="H73" s="60" t="s">
        <v>394</v>
      </c>
      <c r="I73" s="60" t="s">
        <v>395</v>
      </c>
    </row>
    <row r="74" spans="1:10" ht="20.100000000000001" customHeight="1">
      <c r="A74" s="86"/>
      <c r="B74" s="10"/>
      <c r="C74" s="10"/>
      <c r="D74" s="10"/>
      <c r="E74" s="88"/>
      <c r="F74" s="89"/>
      <c r="G74" s="89"/>
    </row>
    <row r="75" spans="1:10" ht="20.100000000000001" customHeight="1">
      <c r="A75" s="92"/>
      <c r="B75" s="93"/>
      <c r="C75" s="20"/>
      <c r="D75" s="93"/>
      <c r="E75" s="94"/>
      <c r="F75" s="95"/>
      <c r="G75" s="89"/>
      <c r="J75" s="22"/>
    </row>
    <row r="76" spans="1:10" ht="20.100000000000001" customHeight="1">
      <c r="A76" s="92"/>
      <c r="B76" s="93"/>
      <c r="C76" s="20"/>
      <c r="D76" s="93"/>
      <c r="E76" s="94"/>
      <c r="F76" s="95"/>
      <c r="G76" s="89"/>
    </row>
    <row r="77" spans="1:10" ht="20.100000000000001" customHeight="1">
      <c r="A77" s="92"/>
      <c r="B77" s="93"/>
      <c r="C77" s="20"/>
      <c r="D77" s="93"/>
      <c r="E77" s="94"/>
      <c r="F77" s="95"/>
      <c r="G77" s="89"/>
    </row>
    <row r="78" spans="1:10" ht="20.100000000000001" customHeight="1">
      <c r="A78" s="92"/>
      <c r="B78" s="93"/>
      <c r="C78" s="20"/>
      <c r="D78" s="93"/>
      <c r="E78" s="94"/>
      <c r="F78" s="95"/>
      <c r="G78" s="89"/>
    </row>
    <row r="79" spans="1:10" ht="20.100000000000001" customHeight="1">
      <c r="A79" s="92"/>
      <c r="B79" s="93"/>
      <c r="C79" s="20"/>
      <c r="D79" s="93"/>
      <c r="E79" s="94"/>
      <c r="F79" s="95"/>
      <c r="G79" s="89"/>
    </row>
    <row r="80" spans="1:10" ht="20.100000000000001" customHeight="1">
      <c r="A80" s="92"/>
      <c r="B80" s="93"/>
      <c r="C80" s="20"/>
      <c r="D80" s="23"/>
      <c r="E80" s="94"/>
      <c r="F80" s="95"/>
      <c r="G80" s="89"/>
    </row>
    <row r="81" spans="1:7" ht="20.100000000000001" customHeight="1">
      <c r="A81" s="92"/>
      <c r="B81" s="93"/>
      <c r="C81" s="20"/>
      <c r="D81" s="23"/>
      <c r="E81" s="94"/>
      <c r="F81" s="95"/>
      <c r="G81" s="89"/>
    </row>
    <row r="82" spans="1:7" ht="20.100000000000001" customHeight="1">
      <c r="A82" s="92"/>
      <c r="B82" s="93"/>
      <c r="C82" s="20"/>
      <c r="D82" s="93"/>
      <c r="E82" s="94"/>
      <c r="F82" s="95"/>
      <c r="G82" s="93"/>
    </row>
    <row r="83" spans="1:7" ht="20.100000000000001" customHeight="1">
      <c r="A83" s="92"/>
      <c r="B83" s="93"/>
      <c r="C83" s="20"/>
      <c r="D83" s="93"/>
      <c r="E83" s="94"/>
      <c r="F83" s="95"/>
      <c r="G83" s="93"/>
    </row>
    <row r="84" spans="1:7" ht="20.100000000000001" customHeight="1">
      <c r="A84" s="92"/>
      <c r="B84" s="93"/>
      <c r="C84" s="20"/>
      <c r="D84" s="93"/>
      <c r="E84" s="94"/>
      <c r="F84" s="95"/>
      <c r="G84" s="93"/>
    </row>
    <row r="85" spans="1:7" ht="20.100000000000001" customHeight="1">
      <c r="A85" s="92"/>
      <c r="B85" s="93"/>
      <c r="C85" s="20"/>
      <c r="D85" s="93"/>
      <c r="E85" s="94"/>
      <c r="F85" s="95"/>
      <c r="G85" s="93"/>
    </row>
  </sheetData>
  <phoneticPr fontId="3" type="noConversion"/>
  <hyperlinks>
    <hyperlink ref="D8" r:id="rId1"/>
    <hyperlink ref="D13" r:id="rId2"/>
    <hyperlink ref="D5" r:id="rId3"/>
    <hyperlink ref="D32" r:id="rId4"/>
    <hyperlink ref="D33" r:id="rId5"/>
    <hyperlink ref="D30" r:id="rId6"/>
    <hyperlink ref="D9" r:id="rId7"/>
    <hyperlink ref="G39" r:id="rId8"/>
    <hyperlink ref="D39" r:id="rId9"/>
    <hyperlink ref="D37" r:id="rId10"/>
    <hyperlink ref="D27" r:id="rId11"/>
    <hyperlink ref="D35" r:id="rId12"/>
    <hyperlink ref="D41" r:id="rId13"/>
    <hyperlink ref="D14" r:id="rId14"/>
    <hyperlink ref="D16" r:id="rId15"/>
    <hyperlink ref="D38" r:id="rId16"/>
    <hyperlink ref="D40" r:id="rId17"/>
    <hyperlink ref="D42" r:id="rId18"/>
    <hyperlink ref="D43" r:id="rId19"/>
    <hyperlink ref="D66" r:id="rId20"/>
    <hyperlink ref="D69" r:id="rId21"/>
    <hyperlink ref="D71" r:id="rId22"/>
    <hyperlink ref="D23" r:id="rId23"/>
    <hyperlink ref="D25" r:id="rId24"/>
    <hyperlink ref="D22" r:id="rId25"/>
    <hyperlink ref="D20" r:id="rId26"/>
    <hyperlink ref="D21" r:id="rId27"/>
    <hyperlink ref="D12" r:id="rId28"/>
    <hyperlink ref="D4" r:id="rId29"/>
    <hyperlink ref="D73" r:id="rId30"/>
    <hyperlink ref="D28" r:id="rId31"/>
    <hyperlink ref="D50" r:id="rId32"/>
    <hyperlink ref="D47" r:id="rId33"/>
    <hyperlink ref="D51" r:id="rId34"/>
    <hyperlink ref="D48" r:id="rId35"/>
    <hyperlink ref="D46" r:id="rId36"/>
    <hyperlink ref="D11" r:id="rId37"/>
    <hyperlink ref="D67" r:id="rId38"/>
    <hyperlink ref="D17" r:id="rId39"/>
    <hyperlink ref="D18" r:id="rId40"/>
    <hyperlink ref="D15" r:id="rId41"/>
    <hyperlink ref="D7" r:id="rId42"/>
    <hyperlink ref="D62" r:id="rId43"/>
    <hyperlink ref="D55" r:id="rId44"/>
    <hyperlink ref="D64" r:id="rId45"/>
  </hyperlinks>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dimension ref="A1:N69"/>
  <sheetViews>
    <sheetView zoomScale="110" workbookViewId="0">
      <pane ySplit="1275" activePane="bottomLeft"/>
      <selection pane="bottomLeft" activeCell="A2" sqref="A2"/>
    </sheetView>
  </sheetViews>
  <sheetFormatPr defaultRowHeight="20.100000000000001" customHeight="1"/>
  <cols>
    <col min="1" max="1" width="9.140625" style="20"/>
    <col min="2" max="2" width="37.85546875" style="17" customWidth="1"/>
    <col min="3" max="3" width="25.140625" style="17" customWidth="1"/>
    <col min="4" max="4" width="27.28515625" style="18" customWidth="1"/>
    <col min="5" max="6" width="14.85546875" style="20" customWidth="1"/>
    <col min="7" max="7" width="21.28515625" style="20" customWidth="1"/>
    <col min="8" max="8" width="20.140625" style="20" customWidth="1"/>
    <col min="9" max="9" width="20" style="20" customWidth="1"/>
    <col min="10" max="10" width="14.140625" style="20" customWidth="1"/>
    <col min="11" max="11" width="23.140625" style="20" customWidth="1"/>
    <col min="12" max="12" width="11.42578125" style="20" customWidth="1"/>
    <col min="13" max="14" width="9.85546875" style="20" bestFit="1" customWidth="1"/>
    <col min="15" max="16384" width="9.140625" style="20"/>
  </cols>
  <sheetData>
    <row r="1" spans="1:14" ht="44.25" customHeight="1">
      <c r="A1" s="16" t="s">
        <v>41</v>
      </c>
      <c r="C1" s="17" t="s">
        <v>42</v>
      </c>
      <c r="D1" s="18" t="s">
        <v>43</v>
      </c>
      <c r="E1" s="18" t="s">
        <v>45</v>
      </c>
      <c r="F1" s="19" t="s">
        <v>44</v>
      </c>
      <c r="G1" s="26" t="s">
        <v>178</v>
      </c>
      <c r="H1" s="26" t="s">
        <v>176</v>
      </c>
      <c r="I1" s="26" t="s">
        <v>177</v>
      </c>
      <c r="J1" s="26" t="s">
        <v>184</v>
      </c>
    </row>
    <row r="2" spans="1:14" s="60" customFormat="1" ht="20.100000000000001" customHeight="1">
      <c r="A2" s="56" t="s">
        <v>193</v>
      </c>
      <c r="B2" s="57" t="s">
        <v>38</v>
      </c>
      <c r="C2" s="58" t="s">
        <v>77</v>
      </c>
      <c r="D2" s="59"/>
      <c r="F2" s="61" t="s">
        <v>78</v>
      </c>
      <c r="G2" s="61"/>
      <c r="H2" s="56"/>
      <c r="I2" s="56"/>
      <c r="J2" s="56"/>
    </row>
    <row r="3" spans="1:14" s="10" customFormat="1" ht="20.100000000000001" customHeight="1">
      <c r="A3" s="26" t="s">
        <v>193</v>
      </c>
      <c r="B3" s="67"/>
      <c r="C3" s="68" t="s">
        <v>256</v>
      </c>
      <c r="D3" s="69"/>
      <c r="E3" s="10" t="s">
        <v>257</v>
      </c>
      <c r="F3" s="25" t="s">
        <v>258</v>
      </c>
      <c r="G3" s="25" t="s">
        <v>259</v>
      </c>
      <c r="H3" s="26"/>
      <c r="I3" s="26"/>
      <c r="J3" s="26"/>
    </row>
    <row r="4" spans="1:14" ht="20.100000000000001" customHeight="1">
      <c r="A4" s="26" t="s">
        <v>193</v>
      </c>
      <c r="C4" s="21" t="s">
        <v>79</v>
      </c>
      <c r="D4" s="48" t="s">
        <v>81</v>
      </c>
      <c r="E4" s="21" t="s">
        <v>75</v>
      </c>
      <c r="F4" s="25" t="s">
        <v>76</v>
      </c>
      <c r="G4" s="25" t="s">
        <v>84</v>
      </c>
      <c r="H4" s="26"/>
      <c r="I4" s="26"/>
      <c r="J4" s="26"/>
    </row>
    <row r="5" spans="1:14" ht="20.100000000000001" customHeight="1">
      <c r="A5" s="26" t="s">
        <v>193</v>
      </c>
      <c r="C5" s="21" t="s">
        <v>37</v>
      </c>
      <c r="D5" s="48" t="s">
        <v>40</v>
      </c>
      <c r="E5" s="21" t="s">
        <v>39</v>
      </c>
      <c r="F5" s="21"/>
      <c r="G5" s="25" t="s">
        <v>85</v>
      </c>
      <c r="H5" s="26"/>
      <c r="I5" s="26"/>
      <c r="J5" s="26"/>
    </row>
    <row r="6" spans="1:14" ht="20.100000000000001" customHeight="1">
      <c r="A6" s="26" t="s">
        <v>193</v>
      </c>
      <c r="C6" s="23" t="s">
        <v>98</v>
      </c>
      <c r="D6" s="50" t="s">
        <v>97</v>
      </c>
      <c r="E6" s="25" t="s">
        <v>80</v>
      </c>
      <c r="F6" s="21"/>
      <c r="G6" s="25" t="s">
        <v>85</v>
      </c>
      <c r="H6" s="26"/>
      <c r="I6" s="26"/>
      <c r="J6" s="26"/>
    </row>
    <row r="7" spans="1:14" ht="20.100000000000001" customHeight="1">
      <c r="A7" s="26" t="s">
        <v>193</v>
      </c>
      <c r="C7" s="23" t="s">
        <v>83</v>
      </c>
      <c r="D7" s="50" t="s">
        <v>144</v>
      </c>
      <c r="E7" s="25" t="s">
        <v>82</v>
      </c>
      <c r="G7" s="21" t="s">
        <v>159</v>
      </c>
      <c r="H7" s="26"/>
      <c r="I7" s="26"/>
      <c r="J7" s="26"/>
    </row>
    <row r="8" spans="1:14" s="60" customFormat="1" ht="20.100000000000001" customHeight="1">
      <c r="A8" s="56" t="s">
        <v>218</v>
      </c>
      <c r="B8" s="61" t="s">
        <v>63</v>
      </c>
      <c r="C8" s="61" t="s">
        <v>62</v>
      </c>
      <c r="D8" s="62" t="s">
        <v>19</v>
      </c>
      <c r="E8" s="61" t="s">
        <v>46</v>
      </c>
      <c r="F8" s="61" t="s">
        <v>47</v>
      </c>
      <c r="G8" s="61"/>
      <c r="H8" s="61"/>
      <c r="I8" s="61"/>
      <c r="J8" s="61"/>
      <c r="K8" s="61"/>
      <c r="M8" s="61"/>
      <c r="N8" s="61"/>
    </row>
    <row r="9" spans="1:14" ht="12.75">
      <c r="A9" s="21" t="s">
        <v>218</v>
      </c>
      <c r="C9" s="23" t="s">
        <v>179</v>
      </c>
      <c r="D9" s="53" t="s">
        <v>203</v>
      </c>
      <c r="E9" s="21"/>
      <c r="F9" s="21" t="s">
        <v>47</v>
      </c>
      <c r="G9" s="21" t="s">
        <v>180</v>
      </c>
      <c r="H9" s="21"/>
      <c r="I9" s="21"/>
      <c r="J9" s="21"/>
      <c r="K9" s="21"/>
      <c r="L9" s="21"/>
      <c r="M9" s="21"/>
      <c r="N9" s="21"/>
    </row>
    <row r="10" spans="1:14" ht="12.75">
      <c r="A10" s="21" t="s">
        <v>218</v>
      </c>
      <c r="C10" s="23" t="s">
        <v>182</v>
      </c>
      <c r="D10" s="24"/>
      <c r="E10" s="21"/>
      <c r="F10" s="21" t="s">
        <v>183</v>
      </c>
      <c r="G10" s="21"/>
      <c r="H10" s="21"/>
      <c r="I10" s="21"/>
      <c r="J10" s="21"/>
      <c r="K10" s="21"/>
      <c r="L10" s="21"/>
      <c r="M10" s="21"/>
      <c r="N10" s="21"/>
    </row>
    <row r="11" spans="1:14" s="60" customFormat="1" ht="20.100000000000001" customHeight="1">
      <c r="A11" s="56" t="s">
        <v>219</v>
      </c>
      <c r="B11" s="61" t="s">
        <v>20</v>
      </c>
      <c r="C11" s="54"/>
      <c r="D11" s="59" t="s">
        <v>74</v>
      </c>
      <c r="F11" s="61" t="s">
        <v>49</v>
      </c>
      <c r="G11" s="61"/>
      <c r="H11" s="61"/>
      <c r="I11" s="61"/>
      <c r="J11" s="61"/>
      <c r="K11" s="61"/>
      <c r="L11" s="61"/>
      <c r="M11" s="61"/>
      <c r="N11" s="61"/>
    </row>
    <row r="12" spans="1:14" ht="20.100000000000001" customHeight="1">
      <c r="A12" s="21" t="s">
        <v>219</v>
      </c>
      <c r="B12" s="21" t="s">
        <v>48</v>
      </c>
      <c r="D12" s="24"/>
      <c r="E12" s="21"/>
      <c r="F12" s="21"/>
      <c r="G12" s="21"/>
      <c r="H12" s="21"/>
      <c r="I12" s="21"/>
      <c r="J12" s="21"/>
      <c r="K12" s="21"/>
      <c r="L12" s="21"/>
      <c r="M12" s="21"/>
      <c r="N12" s="21"/>
    </row>
    <row r="13" spans="1:14" s="60" customFormat="1" ht="20.100000000000001" customHeight="1">
      <c r="A13" s="56" t="s">
        <v>221</v>
      </c>
      <c r="B13" s="61" t="s">
        <v>23</v>
      </c>
      <c r="C13" s="61" t="s">
        <v>51</v>
      </c>
      <c r="D13" s="63" t="s">
        <v>24</v>
      </c>
      <c r="E13" s="60" t="s">
        <v>52</v>
      </c>
      <c r="F13" s="61" t="s">
        <v>50</v>
      </c>
      <c r="G13" s="61"/>
      <c r="H13" s="61"/>
      <c r="I13" s="61"/>
      <c r="J13" s="61"/>
      <c r="K13" s="61"/>
      <c r="L13" s="61"/>
      <c r="M13" s="61"/>
      <c r="N13" s="61"/>
    </row>
    <row r="14" spans="1:14" ht="20.100000000000001" customHeight="1">
      <c r="A14" s="21"/>
      <c r="D14" s="24"/>
      <c r="E14" s="21"/>
      <c r="F14" s="21"/>
      <c r="G14" s="21"/>
      <c r="H14" s="21"/>
      <c r="I14" s="21"/>
      <c r="J14" s="21"/>
      <c r="K14" s="21"/>
      <c r="L14" s="22"/>
      <c r="M14" s="21"/>
      <c r="N14" s="21"/>
    </row>
    <row r="15" spans="1:14" s="60" customFormat="1" ht="20.100000000000001" customHeight="1">
      <c r="A15" s="56" t="s">
        <v>222</v>
      </c>
      <c r="B15" s="61" t="s">
        <v>31</v>
      </c>
      <c r="C15" s="61" t="s">
        <v>51</v>
      </c>
      <c r="D15" s="63" t="s">
        <v>24</v>
      </c>
      <c r="E15" s="60" t="s">
        <v>52</v>
      </c>
      <c r="F15" s="61" t="s">
        <v>50</v>
      </c>
      <c r="G15" s="61"/>
      <c r="H15" s="61" t="s">
        <v>238</v>
      </c>
      <c r="I15" s="61" t="s">
        <v>239</v>
      </c>
      <c r="J15" s="61"/>
      <c r="K15" s="61"/>
      <c r="L15" s="61"/>
      <c r="M15" s="61"/>
      <c r="N15" s="61"/>
    </row>
    <row r="16" spans="1:14" ht="20.100000000000001" customHeight="1">
      <c r="A16" s="21"/>
      <c r="D16" s="24"/>
      <c r="E16" s="21"/>
      <c r="F16" s="21"/>
      <c r="G16" s="21"/>
      <c r="H16" s="21"/>
      <c r="I16" s="21"/>
      <c r="J16" s="21"/>
      <c r="K16" s="21"/>
      <c r="L16" s="21"/>
      <c r="M16" s="21"/>
      <c r="N16" s="21"/>
    </row>
    <row r="17" spans="1:14" s="60" customFormat="1" ht="20.100000000000001" customHeight="1">
      <c r="A17" s="56" t="s">
        <v>223</v>
      </c>
      <c r="B17" s="61" t="s">
        <v>21</v>
      </c>
      <c r="C17" s="61" t="s">
        <v>53</v>
      </c>
      <c r="D17" s="64" t="s">
        <v>68</v>
      </c>
      <c r="E17" s="61" t="s">
        <v>33</v>
      </c>
      <c r="F17" s="61"/>
      <c r="G17" s="61" t="s">
        <v>195</v>
      </c>
      <c r="H17" s="61"/>
      <c r="I17" s="61"/>
      <c r="J17" s="61"/>
      <c r="K17" s="61"/>
      <c r="L17" s="61"/>
      <c r="M17" s="61"/>
      <c r="N17" s="61"/>
    </row>
    <row r="18" spans="1:14" ht="20.100000000000001" customHeight="1">
      <c r="A18" s="25" t="s">
        <v>223</v>
      </c>
      <c r="C18" s="21" t="s">
        <v>54</v>
      </c>
      <c r="D18" s="23"/>
      <c r="E18" s="21" t="s">
        <v>55</v>
      </c>
      <c r="F18" s="21"/>
      <c r="G18" s="21"/>
      <c r="H18" s="21"/>
      <c r="I18" s="21"/>
      <c r="J18" s="21"/>
      <c r="K18" s="21"/>
      <c r="L18" s="22"/>
      <c r="M18" s="21"/>
      <c r="N18" s="21"/>
    </row>
    <row r="19" spans="1:14" ht="20.100000000000001" customHeight="1">
      <c r="A19" s="25" t="s">
        <v>223</v>
      </c>
      <c r="C19" s="21" t="s">
        <v>56</v>
      </c>
      <c r="D19" s="23"/>
      <c r="E19" s="21" t="s">
        <v>57</v>
      </c>
      <c r="F19" s="21"/>
      <c r="G19" s="21"/>
      <c r="H19" s="21"/>
      <c r="I19" s="21"/>
      <c r="J19" s="21"/>
      <c r="K19" s="21"/>
      <c r="L19" s="21"/>
      <c r="M19" s="21"/>
      <c r="N19" s="21"/>
    </row>
    <row r="20" spans="1:14" s="60" customFormat="1" ht="20.100000000000001" customHeight="1">
      <c r="A20" s="56" t="s">
        <v>220</v>
      </c>
      <c r="B20" s="65" t="s">
        <v>0</v>
      </c>
      <c r="C20" s="41" t="s">
        <v>172</v>
      </c>
      <c r="D20" s="59"/>
      <c r="E20" s="60" t="s">
        <v>171</v>
      </c>
      <c r="G20" s="61"/>
      <c r="H20" s="61"/>
      <c r="I20" s="61"/>
      <c r="J20" s="61"/>
      <c r="K20" s="61"/>
      <c r="L20" s="61"/>
      <c r="M20" s="61"/>
      <c r="N20" s="61"/>
    </row>
    <row r="21" spans="1:14" ht="20.100000000000001" customHeight="1">
      <c r="A21" s="21" t="s">
        <v>220</v>
      </c>
      <c r="C21" s="47" t="s">
        <v>58</v>
      </c>
      <c r="D21" s="51" t="s">
        <v>59</v>
      </c>
      <c r="E21" s="47" t="s">
        <v>60</v>
      </c>
      <c r="F21" s="47" t="s">
        <v>61</v>
      </c>
      <c r="G21" s="21"/>
      <c r="H21" s="21"/>
      <c r="I21" s="21"/>
    </row>
    <row r="22" spans="1:14" s="60" customFormat="1" ht="20.100000000000001" customHeight="1">
      <c r="A22" s="56" t="s">
        <v>224</v>
      </c>
      <c r="B22" s="65" t="s">
        <v>197</v>
      </c>
      <c r="C22" s="60" t="s">
        <v>26</v>
      </c>
      <c r="D22" s="58"/>
      <c r="E22" s="61" t="s">
        <v>22</v>
      </c>
      <c r="F22" s="61"/>
      <c r="G22" s="61" t="s">
        <v>189</v>
      </c>
      <c r="H22" s="61"/>
      <c r="I22" s="61"/>
    </row>
    <row r="23" spans="1:14" ht="20.100000000000001" customHeight="1">
      <c r="A23" s="21"/>
      <c r="D23" s="24"/>
      <c r="E23" s="21"/>
      <c r="F23" s="21"/>
      <c r="G23" s="21"/>
      <c r="H23" s="21"/>
      <c r="I23" s="21"/>
    </row>
    <row r="24" spans="1:14" s="60" customFormat="1" ht="20.100000000000001" customHeight="1">
      <c r="A24" s="56" t="s">
        <v>225</v>
      </c>
      <c r="B24" s="58" t="s">
        <v>69</v>
      </c>
      <c r="C24" s="58" t="s">
        <v>73</v>
      </c>
      <c r="D24" s="59" t="s">
        <v>74</v>
      </c>
      <c r="E24" s="61"/>
      <c r="F24" s="61" t="s">
        <v>49</v>
      </c>
      <c r="G24" s="61"/>
      <c r="H24" s="61" t="s">
        <v>174</v>
      </c>
      <c r="I24" s="61" t="s">
        <v>175</v>
      </c>
      <c r="J24" s="61" t="s">
        <v>185</v>
      </c>
    </row>
    <row r="25" spans="1:14" ht="20.100000000000001" customHeight="1">
      <c r="A25" s="19"/>
      <c r="B25" s="23"/>
      <c r="C25" s="23"/>
      <c r="D25" s="24"/>
      <c r="E25" s="21"/>
      <c r="F25" s="21"/>
      <c r="G25" s="21"/>
      <c r="H25" s="21"/>
      <c r="I25" s="21"/>
      <c r="J25" s="25"/>
    </row>
    <row r="26" spans="1:14" s="60" customFormat="1" ht="20.100000000000001" customHeight="1">
      <c r="A26" s="56" t="s">
        <v>226</v>
      </c>
      <c r="B26" s="58" t="s">
        <v>67</v>
      </c>
      <c r="C26" s="58" t="s">
        <v>119</v>
      </c>
      <c r="D26" s="63" t="s">
        <v>181</v>
      </c>
      <c r="E26" s="61" t="s">
        <v>72</v>
      </c>
      <c r="F26" s="61"/>
      <c r="G26" s="61"/>
      <c r="H26" s="61"/>
      <c r="I26" s="61"/>
    </row>
    <row r="27" spans="1:14" ht="20.100000000000001" customHeight="1">
      <c r="A27" s="21"/>
      <c r="C27" s="23" t="s">
        <v>71</v>
      </c>
      <c r="D27" s="24"/>
      <c r="E27" s="21" t="s">
        <v>70</v>
      </c>
      <c r="F27" s="21"/>
      <c r="G27" s="21"/>
      <c r="H27" s="21"/>
    </row>
    <row r="28" spans="1:14" s="60" customFormat="1" ht="20.100000000000001" customHeight="1">
      <c r="A28" s="56" t="s">
        <v>87</v>
      </c>
      <c r="B28" s="58" t="s">
        <v>88</v>
      </c>
      <c r="C28" s="60" t="s">
        <v>89</v>
      </c>
      <c r="D28" s="62" t="s">
        <v>93</v>
      </c>
      <c r="E28" s="60" t="s">
        <v>86</v>
      </c>
      <c r="F28" s="61" t="s">
        <v>91</v>
      </c>
      <c r="G28" s="61"/>
      <c r="H28" s="61"/>
      <c r="J28" s="60" t="s">
        <v>249</v>
      </c>
    </row>
    <row r="29" spans="1:14" ht="20.100000000000001" customHeight="1">
      <c r="A29" s="21"/>
      <c r="C29" s="20" t="s">
        <v>90</v>
      </c>
      <c r="D29" s="48" t="s">
        <v>96</v>
      </c>
      <c r="E29" s="20" t="s">
        <v>237</v>
      </c>
      <c r="F29" s="21"/>
      <c r="G29" s="21"/>
      <c r="H29" s="21"/>
    </row>
    <row r="30" spans="1:14" ht="20.100000000000001" customHeight="1">
      <c r="A30" s="21"/>
      <c r="C30" s="10" t="s">
        <v>95</v>
      </c>
      <c r="D30" s="24"/>
      <c r="E30" s="20" t="s">
        <v>94</v>
      </c>
      <c r="F30" s="20" t="s">
        <v>92</v>
      </c>
      <c r="G30" s="21"/>
      <c r="H30" s="21"/>
    </row>
    <row r="31" spans="1:14" s="60" customFormat="1" ht="20.100000000000001" customHeight="1">
      <c r="A31" s="56" t="s">
        <v>194</v>
      </c>
      <c r="B31" s="60" t="s">
        <v>105</v>
      </c>
      <c r="C31" s="60" t="s">
        <v>106</v>
      </c>
      <c r="D31" s="61" t="s">
        <v>190</v>
      </c>
      <c r="E31" s="60" t="s">
        <v>215</v>
      </c>
      <c r="H31" s="61"/>
      <c r="I31" s="61"/>
      <c r="J31" s="61"/>
      <c r="K31" s="61"/>
      <c r="L31" s="61"/>
      <c r="M31" s="61"/>
      <c r="N31" s="61"/>
    </row>
    <row r="32" spans="1:14" ht="20.100000000000001" customHeight="1">
      <c r="A32" s="21"/>
      <c r="B32" s="20"/>
      <c r="C32" s="20"/>
      <c r="D32" s="21"/>
      <c r="H32" s="21"/>
      <c r="L32" s="21"/>
      <c r="M32" s="21"/>
      <c r="N32" s="21"/>
    </row>
    <row r="33" spans="1:14" s="60" customFormat="1" ht="20.100000000000001" customHeight="1">
      <c r="A33" s="56" t="s">
        <v>214</v>
      </c>
      <c r="B33" s="60" t="s">
        <v>211</v>
      </c>
      <c r="C33" s="60" t="s">
        <v>128</v>
      </c>
      <c r="D33" s="61"/>
      <c r="E33" s="60" t="s">
        <v>227</v>
      </c>
      <c r="H33" s="61"/>
      <c r="I33" s="61"/>
      <c r="J33" s="61"/>
      <c r="K33" s="61"/>
      <c r="L33" s="61"/>
      <c r="M33" s="61"/>
      <c r="N33" s="61"/>
    </row>
    <row r="34" spans="1:14" ht="20.100000000000001" customHeight="1">
      <c r="B34" s="20"/>
      <c r="C34" s="20"/>
      <c r="D34" s="20"/>
      <c r="H34" s="21"/>
      <c r="I34" s="21"/>
      <c r="J34" s="21"/>
      <c r="K34" s="21"/>
      <c r="L34" s="21"/>
      <c r="M34" s="21"/>
      <c r="N34" s="21"/>
    </row>
    <row r="35" spans="1:14" s="60" customFormat="1" ht="20.100000000000001" customHeight="1">
      <c r="A35" s="56" t="s">
        <v>216</v>
      </c>
      <c r="B35" s="60" t="s">
        <v>142</v>
      </c>
      <c r="C35" s="60" t="s">
        <v>114</v>
      </c>
      <c r="D35" s="54" t="s">
        <v>201</v>
      </c>
      <c r="E35" s="60" t="s">
        <v>217</v>
      </c>
      <c r="G35" s="54" t="s">
        <v>209</v>
      </c>
      <c r="H35" s="61"/>
      <c r="I35" s="61"/>
      <c r="J35" s="61"/>
      <c r="K35" s="61"/>
      <c r="L35" s="61"/>
      <c r="M35" s="61"/>
      <c r="N35" s="61"/>
    </row>
    <row r="36" spans="1:14" ht="20.100000000000001" customHeight="1">
      <c r="D36" s="24"/>
      <c r="G36" s="21"/>
      <c r="H36" s="21"/>
      <c r="K36" s="21"/>
      <c r="L36" s="21"/>
      <c r="M36" s="21"/>
      <c r="N36" s="21"/>
    </row>
    <row r="37" spans="1:14" ht="20.100000000000001" customHeight="1">
      <c r="D37" s="24"/>
      <c r="G37" s="21"/>
      <c r="H37" s="21"/>
      <c r="I37" s="21"/>
      <c r="J37" s="21"/>
      <c r="K37" s="21"/>
      <c r="L37" s="21"/>
      <c r="M37" s="21"/>
      <c r="N37" s="21"/>
    </row>
    <row r="38" spans="1:14" ht="20.100000000000001" customHeight="1">
      <c r="D38" s="24"/>
      <c r="G38" s="21"/>
      <c r="H38" s="21"/>
      <c r="I38" s="21"/>
      <c r="J38" s="21"/>
      <c r="K38" s="21"/>
      <c r="L38" s="21"/>
      <c r="M38" s="21"/>
      <c r="N38" s="21"/>
    </row>
    <row r="39" spans="1:14" ht="20.100000000000001" customHeight="1">
      <c r="D39" s="24"/>
      <c r="G39" s="21"/>
      <c r="H39" s="21"/>
      <c r="I39" s="21"/>
      <c r="J39" s="21"/>
      <c r="K39" s="21"/>
      <c r="L39" s="21"/>
      <c r="M39" s="21"/>
      <c r="N39" s="21"/>
    </row>
    <row r="40" spans="1:14" ht="20.100000000000001" customHeight="1">
      <c r="D40" s="24"/>
      <c r="G40" s="21"/>
      <c r="H40" s="21"/>
      <c r="I40" s="21"/>
      <c r="J40" s="21"/>
      <c r="K40" s="21"/>
      <c r="L40" s="21"/>
      <c r="M40" s="21"/>
      <c r="N40" s="21"/>
    </row>
    <row r="41" spans="1:14" ht="20.100000000000001" customHeight="1">
      <c r="D41" s="24"/>
      <c r="G41" s="21"/>
      <c r="H41" s="21"/>
      <c r="K41" s="21"/>
      <c r="L41" s="21"/>
      <c r="M41" s="21"/>
      <c r="N41" s="21"/>
    </row>
    <row r="42" spans="1:14" ht="20.100000000000001" customHeight="1">
      <c r="A42" s="19"/>
      <c r="B42" s="22"/>
      <c r="C42" s="22"/>
      <c r="D42" s="49"/>
      <c r="L42" s="22"/>
    </row>
    <row r="43" spans="1:14" ht="20.100000000000001" customHeight="1">
      <c r="D43" s="24"/>
    </row>
    <row r="44" spans="1:14" ht="20.100000000000001" customHeight="1">
      <c r="D44" s="24"/>
    </row>
    <row r="45" spans="1:14" ht="20.100000000000001" customHeight="1">
      <c r="D45" s="24"/>
    </row>
    <row r="46" spans="1:14" ht="20.100000000000001" customHeight="1">
      <c r="A46" s="19"/>
      <c r="B46" s="22"/>
      <c r="C46" s="22"/>
      <c r="D46" s="49"/>
    </row>
    <row r="47" spans="1:14" ht="20.100000000000001" customHeight="1">
      <c r="A47" s="27" t="s">
        <v>99</v>
      </c>
      <c r="B47" s="28" t="s">
        <v>100</v>
      </c>
      <c r="C47" s="28" t="s">
        <v>101</v>
      </c>
      <c r="D47" s="27" t="s">
        <v>102</v>
      </c>
      <c r="E47" s="29" t="s">
        <v>34</v>
      </c>
      <c r="F47" s="29" t="s">
        <v>103</v>
      </c>
      <c r="G47" s="29" t="s">
        <v>104</v>
      </c>
    </row>
    <row r="48" spans="1:14" ht="20.100000000000001" customHeight="1">
      <c r="A48" s="30">
        <v>5</v>
      </c>
      <c r="B48" s="31" t="s">
        <v>105</v>
      </c>
      <c r="C48" s="31" t="s">
        <v>106</v>
      </c>
      <c r="D48" s="31" t="s">
        <v>107</v>
      </c>
      <c r="E48" s="32">
        <v>2500</v>
      </c>
      <c r="F48" s="33">
        <v>382148</v>
      </c>
      <c r="G48" s="33">
        <f t="shared" ref="G48:G65" si="0">F48/E48</f>
        <v>152.85919999999999</v>
      </c>
      <c r="H48" s="6"/>
    </row>
    <row r="49" spans="1:10" ht="20.100000000000001" customHeight="1">
      <c r="A49" s="30"/>
      <c r="B49" s="31" t="s">
        <v>108</v>
      </c>
      <c r="C49" s="31" t="s">
        <v>109</v>
      </c>
      <c r="D49" s="31" t="s">
        <v>110</v>
      </c>
      <c r="E49" s="32"/>
      <c r="F49" s="33"/>
      <c r="G49" s="33"/>
    </row>
    <row r="50" spans="1:10" ht="20.100000000000001" customHeight="1">
      <c r="A50" s="30">
        <v>6</v>
      </c>
      <c r="B50" s="31" t="s">
        <v>88</v>
      </c>
      <c r="C50" s="31" t="s">
        <v>89</v>
      </c>
      <c r="D50" s="31" t="s">
        <v>111</v>
      </c>
      <c r="E50" s="32">
        <v>21672</v>
      </c>
      <c r="F50" s="33">
        <v>2190000</v>
      </c>
      <c r="G50" s="33">
        <f t="shared" si="0"/>
        <v>101.05204872646733</v>
      </c>
    </row>
    <row r="51" spans="1:10" ht="20.100000000000001" customHeight="1">
      <c r="A51" s="30">
        <v>7</v>
      </c>
      <c r="B51" s="31" t="s">
        <v>29</v>
      </c>
      <c r="C51" s="31" t="s">
        <v>112</v>
      </c>
      <c r="D51" s="31" t="s">
        <v>33</v>
      </c>
      <c r="E51" s="32">
        <v>4200</v>
      </c>
      <c r="F51" s="33">
        <v>400000</v>
      </c>
      <c r="G51" s="33">
        <f t="shared" si="0"/>
        <v>95.238095238095241</v>
      </c>
    </row>
    <row r="52" spans="1:10" ht="20.100000000000001" customHeight="1">
      <c r="A52" s="30"/>
      <c r="B52" s="31" t="s">
        <v>113</v>
      </c>
      <c r="C52" s="31" t="s">
        <v>114</v>
      </c>
      <c r="D52" s="31" t="s">
        <v>115</v>
      </c>
      <c r="E52" s="32"/>
      <c r="F52" s="33"/>
      <c r="G52" s="33"/>
      <c r="H52" s="22"/>
    </row>
    <row r="53" spans="1:10" ht="20.100000000000001" customHeight="1">
      <c r="A53" s="30">
        <v>8</v>
      </c>
      <c r="B53" s="31" t="s">
        <v>28</v>
      </c>
      <c r="C53" s="31" t="s">
        <v>116</v>
      </c>
      <c r="D53" s="31" t="s">
        <v>117</v>
      </c>
      <c r="E53" s="32">
        <v>6170</v>
      </c>
      <c r="F53" s="33">
        <v>761509</v>
      </c>
      <c r="G53" s="33">
        <f t="shared" si="0"/>
        <v>123.42123176661264</v>
      </c>
    </row>
    <row r="54" spans="1:10" ht="20.100000000000001" customHeight="1">
      <c r="A54" s="30">
        <v>9</v>
      </c>
      <c r="B54" s="31" t="s">
        <v>118</v>
      </c>
      <c r="C54" s="31" t="s">
        <v>119</v>
      </c>
      <c r="D54" s="31" t="s">
        <v>120</v>
      </c>
      <c r="E54" s="32">
        <v>3400</v>
      </c>
      <c r="F54" s="33">
        <v>393000</v>
      </c>
      <c r="G54" s="33">
        <f t="shared" si="0"/>
        <v>115.58823529411765</v>
      </c>
      <c r="J54" s="10"/>
    </row>
    <row r="55" spans="1:10" ht="20.100000000000001" customHeight="1">
      <c r="A55" s="30">
        <v>10</v>
      </c>
      <c r="B55" s="31" t="s">
        <v>27</v>
      </c>
      <c r="C55" s="31" t="s">
        <v>26</v>
      </c>
      <c r="D55" s="31" t="s">
        <v>121</v>
      </c>
      <c r="E55" s="32">
        <v>1781</v>
      </c>
      <c r="F55" s="33">
        <v>255000</v>
      </c>
      <c r="G55" s="33">
        <f t="shared" si="0"/>
        <v>143.17798989331837</v>
      </c>
    </row>
    <row r="56" spans="1:10" ht="20.100000000000001" customHeight="1">
      <c r="A56" s="30">
        <v>11</v>
      </c>
      <c r="B56" s="31" t="s">
        <v>65</v>
      </c>
      <c r="C56" s="34" t="s">
        <v>122</v>
      </c>
      <c r="D56" s="31" t="s">
        <v>123</v>
      </c>
      <c r="E56" s="32">
        <v>13500</v>
      </c>
      <c r="F56" s="33">
        <v>1375000</v>
      </c>
      <c r="G56" s="33">
        <f t="shared" si="0"/>
        <v>101.85185185185185</v>
      </c>
    </row>
    <row r="57" spans="1:10" ht="20.100000000000001" customHeight="1">
      <c r="A57" s="35"/>
      <c r="B57" s="34" t="s">
        <v>124</v>
      </c>
      <c r="C57" s="34" t="s">
        <v>125</v>
      </c>
      <c r="D57" s="34" t="s">
        <v>126</v>
      </c>
      <c r="E57" s="36"/>
      <c r="F57" s="37"/>
      <c r="G57" s="34"/>
    </row>
    <row r="58" spans="1:10" ht="20.100000000000001" customHeight="1">
      <c r="A58" s="35">
        <v>12</v>
      </c>
      <c r="B58" s="34" t="s">
        <v>127</v>
      </c>
      <c r="C58" s="34" t="s">
        <v>128</v>
      </c>
      <c r="D58" s="38" t="s">
        <v>129</v>
      </c>
      <c r="E58" s="36">
        <v>2000</v>
      </c>
      <c r="F58" s="37">
        <v>280000</v>
      </c>
      <c r="G58" s="33">
        <f t="shared" si="0"/>
        <v>140</v>
      </c>
    </row>
    <row r="59" spans="1:10" ht="20.100000000000001" customHeight="1">
      <c r="A59" s="35">
        <v>13</v>
      </c>
      <c r="B59" s="34" t="s">
        <v>130</v>
      </c>
      <c r="C59" s="34" t="s">
        <v>131</v>
      </c>
      <c r="D59" s="34" t="s">
        <v>132</v>
      </c>
      <c r="E59" s="36">
        <v>6000</v>
      </c>
      <c r="F59" s="37">
        <v>870000</v>
      </c>
      <c r="G59" s="33">
        <f t="shared" si="0"/>
        <v>145</v>
      </c>
      <c r="J59" s="22"/>
    </row>
    <row r="60" spans="1:10" ht="20.100000000000001" customHeight="1">
      <c r="A60" s="35">
        <v>14</v>
      </c>
      <c r="B60" s="34" t="s">
        <v>133</v>
      </c>
      <c r="C60" s="34" t="s">
        <v>131</v>
      </c>
      <c r="D60" s="34" t="s">
        <v>132</v>
      </c>
      <c r="E60" s="36">
        <v>4400</v>
      </c>
      <c r="F60" s="37">
        <v>570000</v>
      </c>
      <c r="G60" s="33">
        <f t="shared" si="0"/>
        <v>129.54545454545453</v>
      </c>
      <c r="H60" s="71" t="s">
        <v>279</v>
      </c>
    </row>
    <row r="61" spans="1:10" ht="20.100000000000001" customHeight="1">
      <c r="A61" s="35">
        <v>15</v>
      </c>
      <c r="B61" s="34" t="s">
        <v>134</v>
      </c>
      <c r="C61" s="34" t="s">
        <v>131</v>
      </c>
      <c r="D61" s="34" t="s">
        <v>132</v>
      </c>
      <c r="E61" s="36">
        <v>3000</v>
      </c>
      <c r="F61" s="37">
        <v>388000</v>
      </c>
      <c r="G61" s="33">
        <f t="shared" si="0"/>
        <v>129.33333333333334</v>
      </c>
    </row>
    <row r="62" spans="1:10" ht="20.100000000000001" customHeight="1">
      <c r="A62" s="35">
        <v>16</v>
      </c>
      <c r="B62" s="34" t="s">
        <v>135</v>
      </c>
      <c r="C62" s="34" t="s">
        <v>136</v>
      </c>
      <c r="D62" s="34" t="s">
        <v>137</v>
      </c>
      <c r="E62" s="36">
        <v>4700</v>
      </c>
      <c r="F62" s="37">
        <v>300000</v>
      </c>
      <c r="G62" s="33">
        <f t="shared" si="0"/>
        <v>63.829787234042556</v>
      </c>
    </row>
    <row r="63" spans="1:10" ht="20.100000000000001" customHeight="1">
      <c r="A63" s="35">
        <v>17</v>
      </c>
      <c r="B63" s="34" t="s">
        <v>138</v>
      </c>
      <c r="C63" s="34" t="s">
        <v>136</v>
      </c>
      <c r="D63" s="34" t="s">
        <v>137</v>
      </c>
      <c r="E63" s="36">
        <v>7500</v>
      </c>
      <c r="F63" s="37">
        <v>1018000</v>
      </c>
      <c r="G63" s="33">
        <f t="shared" si="0"/>
        <v>135.73333333333332</v>
      </c>
    </row>
    <row r="64" spans="1:10" ht="20.100000000000001" customHeight="1">
      <c r="A64" s="35">
        <v>18</v>
      </c>
      <c r="B64" s="34" t="s">
        <v>139</v>
      </c>
      <c r="C64" s="34" t="s">
        <v>140</v>
      </c>
      <c r="D64" s="39" t="s">
        <v>141</v>
      </c>
      <c r="E64" s="36">
        <v>2500</v>
      </c>
      <c r="F64" s="37">
        <v>315000</v>
      </c>
      <c r="G64" s="33">
        <f t="shared" si="0"/>
        <v>126</v>
      </c>
      <c r="H64" s="20" t="s">
        <v>186</v>
      </c>
    </row>
    <row r="65" spans="1:7" ht="20.100000000000001" customHeight="1">
      <c r="A65" s="35">
        <v>19</v>
      </c>
      <c r="B65" s="34" t="s">
        <v>142</v>
      </c>
      <c r="C65" s="34" t="s">
        <v>114</v>
      </c>
      <c r="D65" s="39" t="s">
        <v>143</v>
      </c>
      <c r="E65" s="36">
        <v>11200</v>
      </c>
      <c r="F65" s="37">
        <v>1010000</v>
      </c>
      <c r="G65" s="33">
        <f t="shared" si="0"/>
        <v>90.178571428571431</v>
      </c>
    </row>
    <row r="66" spans="1:7" ht="20.100000000000001" customHeight="1">
      <c r="A66" s="35"/>
      <c r="B66" s="34"/>
      <c r="C66" s="34"/>
      <c r="D66" s="34"/>
      <c r="E66" s="36"/>
      <c r="F66" s="37"/>
      <c r="G66" s="34"/>
    </row>
    <row r="67" spans="1:7" ht="20.100000000000001" customHeight="1">
      <c r="A67" s="35"/>
      <c r="B67" s="34"/>
      <c r="C67" s="34"/>
      <c r="D67" s="34"/>
      <c r="E67" s="36"/>
      <c r="F67" s="37"/>
      <c r="G67" s="34"/>
    </row>
    <row r="68" spans="1:7" ht="20.100000000000001" customHeight="1">
      <c r="A68" s="35"/>
      <c r="B68" s="34"/>
      <c r="C68" s="34"/>
      <c r="D68" s="34"/>
      <c r="E68" s="36"/>
      <c r="F68" s="37"/>
      <c r="G68" s="34"/>
    </row>
    <row r="69" spans="1:7" ht="20.100000000000001" customHeight="1">
      <c r="A69" s="35"/>
      <c r="B69" s="34"/>
      <c r="C69" s="34"/>
      <c r="D69" s="34"/>
      <c r="E69" s="36"/>
      <c r="F69" s="37"/>
      <c r="G69" s="34"/>
    </row>
  </sheetData>
  <phoneticPr fontId="3" type="noConversion"/>
  <hyperlinks>
    <hyperlink ref="D8" r:id="rId1"/>
    <hyperlink ref="D13" r:id="rId2"/>
    <hyperlink ref="D15" r:id="rId3"/>
    <hyperlink ref="D21" r:id="rId4"/>
    <hyperlink ref="D5" r:id="rId5"/>
    <hyperlink ref="D4" r:id="rId6"/>
    <hyperlink ref="D28" r:id="rId7"/>
    <hyperlink ref="D29" r:id="rId8"/>
    <hyperlink ref="D6" r:id="rId9" display="mailto:tony.frey@vega-energi.se"/>
    <hyperlink ref="D7" r:id="rId10"/>
    <hyperlink ref="D26" r:id="rId11"/>
    <hyperlink ref="D9" r:id="rId12"/>
    <hyperlink ref="G35" r:id="rId13"/>
    <hyperlink ref="D35" r:id="rId14"/>
  </hyperlinks>
  <pageMargins left="0.75" right="0.75" top="1" bottom="1" header="0.5" footer="0.5"/>
  <pageSetup paperSize="9" orientation="landscape" horizontalDpi="96" verticalDpi="96" r:id="rId15"/>
  <headerFooter alignWithMargins="0"/>
</worksheet>
</file>

<file path=xl/worksheets/sheet5.xml><?xml version="1.0" encoding="utf-8"?>
<worksheet xmlns="http://schemas.openxmlformats.org/spreadsheetml/2006/main" xmlns:r="http://schemas.openxmlformats.org/officeDocument/2006/relationships">
  <dimension ref="A1:J175"/>
  <sheetViews>
    <sheetView topLeftCell="A126" workbookViewId="0">
      <selection activeCell="A143" sqref="A143"/>
    </sheetView>
  </sheetViews>
  <sheetFormatPr defaultRowHeight="12.75"/>
  <cols>
    <col min="1" max="1" width="27.28515625" customWidth="1"/>
    <col min="2" max="2" width="12" customWidth="1"/>
    <col min="3" max="3" width="13.5703125" customWidth="1"/>
    <col min="4" max="4" width="10.140625" bestFit="1" customWidth="1"/>
    <col min="5" max="5" width="10.28515625" customWidth="1"/>
    <col min="9" max="10" width="10.140625" bestFit="1" customWidth="1"/>
  </cols>
  <sheetData>
    <row r="1" spans="1:3" ht="23.25">
      <c r="A1" s="9" t="s">
        <v>268</v>
      </c>
    </row>
    <row r="3" spans="1:3">
      <c r="A3" s="7" t="s">
        <v>188</v>
      </c>
    </row>
    <row r="5" spans="1:3">
      <c r="A5" s="7" t="s">
        <v>235</v>
      </c>
      <c r="B5" s="52">
        <v>39722</v>
      </c>
      <c r="C5" s="52">
        <v>39790</v>
      </c>
    </row>
    <row r="6" spans="1:3">
      <c r="A6">
        <v>-20</v>
      </c>
      <c r="B6">
        <v>60</v>
      </c>
      <c r="C6">
        <v>60</v>
      </c>
    </row>
    <row r="7" spans="1:3">
      <c r="A7">
        <v>-5</v>
      </c>
      <c r="B7">
        <v>50</v>
      </c>
      <c r="C7">
        <v>50</v>
      </c>
    </row>
    <row r="8" spans="1:3">
      <c r="A8">
        <v>0</v>
      </c>
      <c r="B8">
        <v>40</v>
      </c>
      <c r="C8">
        <v>40</v>
      </c>
    </row>
    <row r="9" spans="1:3">
      <c r="A9">
        <v>5</v>
      </c>
      <c r="B9">
        <v>37</v>
      </c>
      <c r="C9">
        <v>37</v>
      </c>
    </row>
    <row r="10" spans="1:3">
      <c r="A10">
        <v>17</v>
      </c>
      <c r="B10">
        <v>20</v>
      </c>
      <c r="C10">
        <v>25</v>
      </c>
    </row>
    <row r="12" spans="1:3">
      <c r="A12" s="7" t="s">
        <v>236</v>
      </c>
      <c r="B12" s="52">
        <v>39722</v>
      </c>
    </row>
    <row r="13" spans="1:3">
      <c r="A13">
        <v>-20</v>
      </c>
      <c r="B13">
        <v>60</v>
      </c>
    </row>
    <row r="14" spans="1:3">
      <c r="A14">
        <v>-5</v>
      </c>
      <c r="B14">
        <v>45</v>
      </c>
    </row>
    <row r="15" spans="1:3">
      <c r="A15">
        <v>0</v>
      </c>
      <c r="B15">
        <v>35</v>
      </c>
    </row>
    <row r="16" spans="1:3">
      <c r="A16">
        <v>5</v>
      </c>
      <c r="B16">
        <v>32</v>
      </c>
    </row>
    <row r="17" spans="1:5">
      <c r="A17">
        <v>17</v>
      </c>
      <c r="B17">
        <v>25</v>
      </c>
    </row>
    <row r="19" spans="1:5">
      <c r="A19" s="7" t="s">
        <v>240</v>
      </c>
      <c r="B19" s="52">
        <v>39792</v>
      </c>
      <c r="C19" s="52">
        <v>39846</v>
      </c>
    </row>
    <row r="20" spans="1:5">
      <c r="A20">
        <v>-20</v>
      </c>
      <c r="B20">
        <v>65</v>
      </c>
      <c r="C20" t="s">
        <v>270</v>
      </c>
    </row>
    <row r="21" spans="1:5">
      <c r="A21">
        <v>-5</v>
      </c>
      <c r="B21">
        <v>55</v>
      </c>
    </row>
    <row r="22" spans="1:5">
      <c r="A22">
        <v>0</v>
      </c>
      <c r="B22">
        <v>45</v>
      </c>
    </row>
    <row r="23" spans="1:5">
      <c r="A23">
        <v>5</v>
      </c>
      <c r="B23">
        <v>40</v>
      </c>
    </row>
    <row r="24" spans="1:5">
      <c r="A24">
        <v>17</v>
      </c>
      <c r="B24">
        <v>27</v>
      </c>
    </row>
    <row r="26" spans="1:5">
      <c r="A26" s="7" t="s">
        <v>241</v>
      </c>
      <c r="B26" s="52">
        <v>39792</v>
      </c>
      <c r="C26" s="52">
        <v>40071</v>
      </c>
      <c r="D26" s="52" t="s">
        <v>475</v>
      </c>
      <c r="E26" s="52" t="s">
        <v>532</v>
      </c>
    </row>
    <row r="27" spans="1:5">
      <c r="A27">
        <v>-20</v>
      </c>
      <c r="B27">
        <v>80</v>
      </c>
      <c r="C27">
        <v>60</v>
      </c>
      <c r="D27">
        <v>70</v>
      </c>
      <c r="E27">
        <v>70</v>
      </c>
    </row>
    <row r="28" spans="1:5">
      <c r="A28">
        <v>-5</v>
      </c>
      <c r="B28">
        <v>60</v>
      </c>
      <c r="C28">
        <v>52</v>
      </c>
      <c r="D28">
        <v>48</v>
      </c>
      <c r="E28">
        <v>58</v>
      </c>
    </row>
    <row r="29" spans="1:5">
      <c r="A29">
        <v>0</v>
      </c>
      <c r="B29">
        <v>54</v>
      </c>
      <c r="C29">
        <v>40</v>
      </c>
      <c r="D29">
        <v>42</v>
      </c>
      <c r="E29">
        <v>50</v>
      </c>
    </row>
    <row r="30" spans="1:5">
      <c r="A30">
        <v>5</v>
      </c>
      <c r="B30">
        <v>42</v>
      </c>
      <c r="C30">
        <v>30</v>
      </c>
      <c r="D30">
        <v>38</v>
      </c>
      <c r="E30">
        <v>40</v>
      </c>
    </row>
    <row r="31" spans="1:5">
      <c r="A31">
        <v>17</v>
      </c>
      <c r="B31">
        <v>25</v>
      </c>
      <c r="C31">
        <v>20</v>
      </c>
      <c r="E31">
        <v>25</v>
      </c>
    </row>
    <row r="33" spans="1:4">
      <c r="A33" s="7" t="s">
        <v>242</v>
      </c>
      <c r="B33" s="52">
        <v>39792</v>
      </c>
    </row>
    <row r="34" spans="1:4">
      <c r="A34">
        <v>-20</v>
      </c>
      <c r="B34">
        <v>60</v>
      </c>
    </row>
    <row r="35" spans="1:4">
      <c r="A35">
        <v>-5</v>
      </c>
      <c r="B35">
        <v>57</v>
      </c>
    </row>
    <row r="36" spans="1:4">
      <c r="A36">
        <v>0</v>
      </c>
      <c r="B36">
        <v>47</v>
      </c>
    </row>
    <row r="37" spans="1:4">
      <c r="A37">
        <v>5</v>
      </c>
      <c r="B37">
        <v>40</v>
      </c>
    </row>
    <row r="38" spans="1:4">
      <c r="A38">
        <v>17</v>
      </c>
      <c r="B38">
        <v>25</v>
      </c>
    </row>
    <row r="40" spans="1:4">
      <c r="A40" s="7" t="s">
        <v>243</v>
      </c>
      <c r="B40" s="52">
        <v>39792</v>
      </c>
    </row>
    <row r="41" spans="1:4">
      <c r="A41">
        <v>-20</v>
      </c>
      <c r="B41">
        <v>60</v>
      </c>
    </row>
    <row r="42" spans="1:4">
      <c r="A42">
        <v>-5</v>
      </c>
      <c r="B42">
        <v>55</v>
      </c>
    </row>
    <row r="43" spans="1:4">
      <c r="A43">
        <v>0</v>
      </c>
      <c r="B43">
        <v>43</v>
      </c>
    </row>
    <row r="44" spans="1:4">
      <c r="A44">
        <v>5</v>
      </c>
      <c r="B44">
        <v>37</v>
      </c>
    </row>
    <row r="45" spans="1:4">
      <c r="A45">
        <v>17</v>
      </c>
      <c r="B45">
        <v>23</v>
      </c>
    </row>
    <row r="47" spans="1:4">
      <c r="A47" s="7" t="s">
        <v>246</v>
      </c>
      <c r="B47" s="52">
        <v>39792</v>
      </c>
      <c r="D47" t="s">
        <v>404</v>
      </c>
    </row>
    <row r="48" spans="1:4">
      <c r="A48">
        <v>-20</v>
      </c>
      <c r="B48">
        <v>70</v>
      </c>
      <c r="D48">
        <v>60</v>
      </c>
    </row>
    <row r="49" spans="1:5">
      <c r="A49">
        <v>-5</v>
      </c>
      <c r="B49">
        <v>60</v>
      </c>
      <c r="D49">
        <v>50</v>
      </c>
    </row>
    <row r="50" spans="1:5">
      <c r="A50">
        <v>0</v>
      </c>
      <c r="B50">
        <v>50</v>
      </c>
      <c r="D50">
        <v>40</v>
      </c>
      <c r="E50">
        <v>47</v>
      </c>
    </row>
    <row r="51" spans="1:5">
      <c r="A51">
        <v>5</v>
      </c>
      <c r="B51">
        <v>43</v>
      </c>
      <c r="D51">
        <v>30</v>
      </c>
      <c r="E51">
        <v>37</v>
      </c>
    </row>
    <row r="52" spans="1:5">
      <c r="A52">
        <v>17</v>
      </c>
      <c r="B52">
        <v>25</v>
      </c>
      <c r="D52">
        <v>20</v>
      </c>
      <c r="E52">
        <v>25</v>
      </c>
    </row>
    <row r="55" spans="1:5">
      <c r="A55" s="7" t="s">
        <v>198</v>
      </c>
      <c r="B55" s="52">
        <v>39722</v>
      </c>
      <c r="C55" s="52">
        <v>39766</v>
      </c>
      <c r="D55" t="s">
        <v>404</v>
      </c>
    </row>
    <row r="56" spans="1:5">
      <c r="A56">
        <v>-20</v>
      </c>
      <c r="B56">
        <v>60</v>
      </c>
      <c r="C56">
        <v>60</v>
      </c>
      <c r="D56">
        <v>65</v>
      </c>
    </row>
    <row r="57" spans="1:5">
      <c r="A57">
        <v>-5</v>
      </c>
      <c r="B57">
        <v>53</v>
      </c>
      <c r="C57">
        <v>53</v>
      </c>
      <c r="D57">
        <v>50</v>
      </c>
    </row>
    <row r="58" spans="1:5">
      <c r="A58">
        <v>0</v>
      </c>
      <c r="B58">
        <v>52</v>
      </c>
      <c r="C58">
        <v>52</v>
      </c>
      <c r="D58">
        <v>40</v>
      </c>
    </row>
    <row r="59" spans="1:5">
      <c r="A59">
        <v>5</v>
      </c>
      <c r="B59">
        <v>35</v>
      </c>
      <c r="C59" s="7">
        <v>40</v>
      </c>
      <c r="D59">
        <v>30</v>
      </c>
    </row>
    <row r="60" spans="1:5">
      <c r="A60">
        <v>17</v>
      </c>
      <c r="B60">
        <v>25</v>
      </c>
      <c r="C60">
        <v>25</v>
      </c>
      <c r="D60">
        <v>18</v>
      </c>
    </row>
    <row r="62" spans="1:5">
      <c r="A62" s="7" t="s">
        <v>199</v>
      </c>
      <c r="B62" s="52">
        <v>39722</v>
      </c>
      <c r="C62" s="52">
        <v>39766</v>
      </c>
      <c r="D62" t="s">
        <v>404</v>
      </c>
    </row>
    <row r="63" spans="1:5">
      <c r="A63">
        <v>-20</v>
      </c>
      <c r="B63">
        <v>60</v>
      </c>
      <c r="C63">
        <v>60</v>
      </c>
      <c r="D63">
        <v>60</v>
      </c>
    </row>
    <row r="64" spans="1:5">
      <c r="A64">
        <v>-5</v>
      </c>
      <c r="B64">
        <v>50</v>
      </c>
      <c r="C64">
        <v>50</v>
      </c>
      <c r="D64">
        <v>50</v>
      </c>
    </row>
    <row r="65" spans="1:6">
      <c r="A65">
        <v>0</v>
      </c>
      <c r="B65">
        <v>40</v>
      </c>
      <c r="C65" s="7">
        <v>45</v>
      </c>
      <c r="D65">
        <v>40</v>
      </c>
    </row>
    <row r="66" spans="1:6">
      <c r="A66">
        <v>5</v>
      </c>
      <c r="B66">
        <v>35</v>
      </c>
      <c r="C66" s="7">
        <v>40</v>
      </c>
      <c r="D66">
        <v>35</v>
      </c>
    </row>
    <row r="67" spans="1:6">
      <c r="A67">
        <v>17</v>
      </c>
      <c r="B67">
        <v>25</v>
      </c>
      <c r="C67">
        <v>25</v>
      </c>
      <c r="D67">
        <v>18</v>
      </c>
    </row>
    <row r="68" spans="1:6">
      <c r="A68" s="7" t="s">
        <v>398</v>
      </c>
      <c r="B68" s="52">
        <v>39448</v>
      </c>
      <c r="C68" s="52">
        <v>40072</v>
      </c>
      <c r="F68" s="52" t="s">
        <v>471</v>
      </c>
    </row>
    <row r="69" spans="1:6">
      <c r="A69">
        <v>-20</v>
      </c>
      <c r="B69">
        <v>72</v>
      </c>
      <c r="C69" t="s">
        <v>399</v>
      </c>
      <c r="D69" s="52" t="s">
        <v>454</v>
      </c>
      <c r="E69">
        <v>65</v>
      </c>
      <c r="F69">
        <v>70</v>
      </c>
    </row>
    <row r="70" spans="1:6">
      <c r="A70">
        <v>-5</v>
      </c>
      <c r="B70">
        <v>60</v>
      </c>
      <c r="D70">
        <v>50</v>
      </c>
      <c r="E70">
        <v>60</v>
      </c>
      <c r="F70">
        <v>64</v>
      </c>
    </row>
    <row r="71" spans="1:6">
      <c r="A71">
        <v>0</v>
      </c>
      <c r="B71">
        <v>57</v>
      </c>
      <c r="D71">
        <v>48</v>
      </c>
      <c r="E71">
        <v>55</v>
      </c>
      <c r="F71">
        <v>55</v>
      </c>
    </row>
    <row r="72" spans="1:6">
      <c r="A72">
        <v>5</v>
      </c>
      <c r="B72">
        <v>48</v>
      </c>
      <c r="D72">
        <v>42</v>
      </c>
      <c r="E72">
        <v>48</v>
      </c>
      <c r="F72">
        <v>46</v>
      </c>
    </row>
    <row r="73" spans="1:6">
      <c r="A73">
        <v>17</v>
      </c>
      <c r="B73">
        <v>38</v>
      </c>
      <c r="D73">
        <v>30</v>
      </c>
      <c r="E73">
        <v>30</v>
      </c>
      <c r="F73">
        <v>40</v>
      </c>
    </row>
    <row r="77" spans="1:6">
      <c r="A77" s="7" t="s">
        <v>245</v>
      </c>
      <c r="B77" s="52">
        <v>39792</v>
      </c>
    </row>
    <row r="78" spans="1:6">
      <c r="A78">
        <v>-20</v>
      </c>
      <c r="B78">
        <v>65</v>
      </c>
    </row>
    <row r="79" spans="1:6">
      <c r="A79">
        <v>-5</v>
      </c>
      <c r="B79">
        <v>50</v>
      </c>
    </row>
    <row r="80" spans="1:6">
      <c r="A80">
        <v>0</v>
      </c>
      <c r="B80">
        <v>40</v>
      </c>
    </row>
    <row r="81" spans="1:3">
      <c r="A81">
        <v>5</v>
      </c>
      <c r="B81">
        <v>38</v>
      </c>
    </row>
    <row r="82" spans="1:3">
      <c r="A82">
        <v>17</v>
      </c>
      <c r="B82">
        <v>25</v>
      </c>
    </row>
    <row r="84" spans="1:3">
      <c r="A84" s="7" t="s">
        <v>244</v>
      </c>
      <c r="B84" s="52">
        <v>39792</v>
      </c>
      <c r="C84" s="52">
        <v>39835</v>
      </c>
    </row>
    <row r="85" spans="1:3">
      <c r="A85">
        <v>-20</v>
      </c>
      <c r="B85">
        <v>65</v>
      </c>
      <c r="C85" t="s">
        <v>267</v>
      </c>
    </row>
    <row r="86" spans="1:3">
      <c r="A86">
        <v>-5</v>
      </c>
      <c r="B86">
        <v>55</v>
      </c>
    </row>
    <row r="87" spans="1:3">
      <c r="A87">
        <v>0</v>
      </c>
      <c r="B87">
        <v>50</v>
      </c>
    </row>
    <row r="88" spans="1:3">
      <c r="A88">
        <v>5</v>
      </c>
      <c r="B88">
        <v>44</v>
      </c>
    </row>
    <row r="89" spans="1:3">
      <c r="A89">
        <v>17</v>
      </c>
      <c r="B89">
        <v>27</v>
      </c>
    </row>
    <row r="92" spans="1:3">
      <c r="A92" s="7" t="s">
        <v>200</v>
      </c>
      <c r="B92" s="52">
        <v>39769</v>
      </c>
      <c r="C92" s="52">
        <v>39770</v>
      </c>
    </row>
    <row r="93" spans="1:3">
      <c r="A93">
        <v>-20</v>
      </c>
      <c r="B93">
        <v>70</v>
      </c>
      <c r="C93">
        <v>70</v>
      </c>
    </row>
    <row r="94" spans="1:3">
      <c r="A94">
        <v>-5</v>
      </c>
      <c r="B94">
        <v>50</v>
      </c>
      <c r="C94">
        <v>50</v>
      </c>
    </row>
    <row r="95" spans="1:3">
      <c r="A95">
        <v>0</v>
      </c>
      <c r="B95">
        <v>45</v>
      </c>
      <c r="C95" s="7">
        <v>48</v>
      </c>
    </row>
    <row r="96" spans="1:3">
      <c r="A96">
        <v>5</v>
      </c>
      <c r="B96">
        <v>40</v>
      </c>
      <c r="C96" s="7">
        <v>43</v>
      </c>
    </row>
    <row r="97" spans="1:10">
      <c r="A97">
        <v>17</v>
      </c>
      <c r="B97">
        <v>25</v>
      </c>
      <c r="C97">
        <v>25</v>
      </c>
    </row>
    <row r="99" spans="1:10">
      <c r="A99" s="7" t="s">
        <v>247</v>
      </c>
      <c r="B99" s="52">
        <v>39792</v>
      </c>
      <c r="C99" s="52">
        <v>39833</v>
      </c>
      <c r="D99" s="52">
        <v>39846</v>
      </c>
      <c r="E99" s="52">
        <v>39860</v>
      </c>
    </row>
    <row r="100" spans="1:10">
      <c r="A100">
        <v>-20</v>
      </c>
      <c r="B100">
        <v>70</v>
      </c>
      <c r="C100" t="s">
        <v>266</v>
      </c>
      <c r="D100" t="s">
        <v>271</v>
      </c>
      <c r="E100">
        <v>66</v>
      </c>
    </row>
    <row r="101" spans="1:10">
      <c r="A101">
        <v>-5</v>
      </c>
      <c r="B101">
        <v>48</v>
      </c>
      <c r="E101">
        <v>45</v>
      </c>
    </row>
    <row r="102" spans="1:10">
      <c r="A102">
        <v>0</v>
      </c>
      <c r="B102">
        <v>45</v>
      </c>
      <c r="E102">
        <v>43</v>
      </c>
    </row>
    <row r="103" spans="1:10">
      <c r="A103">
        <v>5</v>
      </c>
      <c r="B103">
        <v>42</v>
      </c>
      <c r="E103">
        <v>40</v>
      </c>
    </row>
    <row r="104" spans="1:10">
      <c r="A104">
        <v>17</v>
      </c>
      <c r="B104">
        <v>25</v>
      </c>
      <c r="E104">
        <v>20</v>
      </c>
    </row>
    <row r="106" spans="1:10">
      <c r="A106" s="7" t="s">
        <v>248</v>
      </c>
      <c r="B106" s="52">
        <v>39792</v>
      </c>
      <c r="C106" s="52" t="s">
        <v>269</v>
      </c>
      <c r="D106" s="52">
        <v>39843</v>
      </c>
      <c r="E106" s="52" t="s">
        <v>277</v>
      </c>
      <c r="F106" s="52" t="s">
        <v>278</v>
      </c>
      <c r="G106" s="52" t="s">
        <v>288</v>
      </c>
      <c r="H106" s="52" t="s">
        <v>468</v>
      </c>
      <c r="I106" s="52">
        <v>40199</v>
      </c>
      <c r="J106" s="52" t="s">
        <v>532</v>
      </c>
    </row>
    <row r="107" spans="1:10">
      <c r="A107">
        <v>-20</v>
      </c>
      <c r="B107">
        <v>70</v>
      </c>
      <c r="C107">
        <v>70</v>
      </c>
      <c r="D107">
        <v>70</v>
      </c>
      <c r="E107">
        <v>66</v>
      </c>
      <c r="F107">
        <v>72</v>
      </c>
      <c r="G107">
        <v>76</v>
      </c>
      <c r="H107">
        <v>67</v>
      </c>
      <c r="I107">
        <v>76</v>
      </c>
      <c r="J107">
        <v>80</v>
      </c>
    </row>
    <row r="108" spans="1:10">
      <c r="A108">
        <v>-5</v>
      </c>
      <c r="B108">
        <v>50</v>
      </c>
      <c r="C108">
        <v>47</v>
      </c>
      <c r="D108">
        <v>50</v>
      </c>
      <c r="E108">
        <v>45</v>
      </c>
      <c r="F108">
        <v>53</v>
      </c>
      <c r="G108">
        <v>60</v>
      </c>
      <c r="H108">
        <v>52</v>
      </c>
      <c r="I108">
        <v>60</v>
      </c>
      <c r="J108">
        <v>65</v>
      </c>
    </row>
    <row r="109" spans="1:10">
      <c r="A109">
        <v>0</v>
      </c>
      <c r="B109">
        <v>45</v>
      </c>
      <c r="C109">
        <v>40</v>
      </c>
      <c r="D109">
        <v>45</v>
      </c>
      <c r="E109">
        <v>43</v>
      </c>
      <c r="F109">
        <v>47</v>
      </c>
      <c r="G109">
        <v>50</v>
      </c>
      <c r="H109">
        <v>44</v>
      </c>
      <c r="I109">
        <v>50</v>
      </c>
      <c r="J109">
        <v>56</v>
      </c>
    </row>
    <row r="110" spans="1:10">
      <c r="A110">
        <v>5</v>
      </c>
      <c r="B110">
        <v>42</v>
      </c>
      <c r="C110">
        <v>34</v>
      </c>
      <c r="D110">
        <v>40</v>
      </c>
      <c r="E110">
        <v>40</v>
      </c>
      <c r="F110">
        <v>42</v>
      </c>
      <c r="G110">
        <v>43</v>
      </c>
      <c r="H110">
        <v>38</v>
      </c>
      <c r="I110">
        <v>43</v>
      </c>
      <c r="J110">
        <v>45</v>
      </c>
    </row>
    <row r="111" spans="1:10">
      <c r="A111">
        <v>17</v>
      </c>
      <c r="B111">
        <v>25</v>
      </c>
      <c r="C111">
        <v>25</v>
      </c>
      <c r="D111">
        <v>25</v>
      </c>
      <c r="E111">
        <v>25</v>
      </c>
      <c r="F111">
        <v>25</v>
      </c>
      <c r="G111">
        <v>25</v>
      </c>
      <c r="H111">
        <v>25</v>
      </c>
      <c r="I111">
        <v>25</v>
      </c>
      <c r="J111">
        <v>25</v>
      </c>
    </row>
    <row r="113" spans="1:5">
      <c r="A113" s="7" t="s">
        <v>187</v>
      </c>
      <c r="B113" s="52">
        <v>39722</v>
      </c>
      <c r="C113" s="52">
        <v>39763</v>
      </c>
    </row>
    <row r="114" spans="1:5">
      <c r="A114">
        <v>-20</v>
      </c>
      <c r="B114">
        <v>70</v>
      </c>
      <c r="C114">
        <v>60</v>
      </c>
    </row>
    <row r="115" spans="1:5">
      <c r="A115">
        <v>-5</v>
      </c>
      <c r="B115">
        <v>50</v>
      </c>
      <c r="C115">
        <v>50</v>
      </c>
    </row>
    <row r="116" spans="1:5">
      <c r="A116">
        <v>0</v>
      </c>
      <c r="B116">
        <v>47</v>
      </c>
      <c r="C116" s="7">
        <v>45</v>
      </c>
    </row>
    <row r="117" spans="1:5">
      <c r="A117">
        <v>5</v>
      </c>
      <c r="B117">
        <v>44</v>
      </c>
      <c r="C117" s="7">
        <v>42</v>
      </c>
    </row>
    <row r="118" spans="1:5">
      <c r="A118">
        <v>17</v>
      </c>
      <c r="B118">
        <v>26</v>
      </c>
      <c r="C118">
        <v>25</v>
      </c>
    </row>
    <row r="120" spans="1:5">
      <c r="A120" s="7" t="s">
        <v>196</v>
      </c>
      <c r="B120" s="52">
        <v>39722</v>
      </c>
      <c r="C120" s="52">
        <v>39764</v>
      </c>
      <c r="D120" s="52">
        <v>39832</v>
      </c>
    </row>
    <row r="121" spans="1:5">
      <c r="A121">
        <v>-20</v>
      </c>
      <c r="B121">
        <v>70</v>
      </c>
      <c r="C121">
        <v>60</v>
      </c>
      <c r="D121" t="s">
        <v>264</v>
      </c>
    </row>
    <row r="122" spans="1:5">
      <c r="A122">
        <v>-5</v>
      </c>
      <c r="B122">
        <v>50</v>
      </c>
      <c r="C122">
        <v>50</v>
      </c>
      <c r="D122" t="s">
        <v>263</v>
      </c>
    </row>
    <row r="123" spans="1:5">
      <c r="A123">
        <v>0</v>
      </c>
      <c r="B123">
        <v>45</v>
      </c>
      <c r="C123" s="7">
        <v>42</v>
      </c>
      <c r="D123" t="s">
        <v>265</v>
      </c>
    </row>
    <row r="124" spans="1:5">
      <c r="A124">
        <v>5</v>
      </c>
      <c r="B124">
        <v>42</v>
      </c>
      <c r="C124" s="7">
        <v>39</v>
      </c>
    </row>
    <row r="125" spans="1:5">
      <c r="A125">
        <v>17</v>
      </c>
      <c r="B125">
        <v>25</v>
      </c>
      <c r="C125">
        <v>25</v>
      </c>
    </row>
    <row r="127" spans="1:5">
      <c r="A127" s="7" t="s">
        <v>204</v>
      </c>
      <c r="B127" s="52" t="s">
        <v>205</v>
      </c>
      <c r="C127" s="52">
        <v>39772</v>
      </c>
      <c r="D127" s="52">
        <v>39787</v>
      </c>
      <c r="E127" s="52">
        <v>39846</v>
      </c>
    </row>
    <row r="128" spans="1:5">
      <c r="A128">
        <v>-20</v>
      </c>
      <c r="B128">
        <v>65</v>
      </c>
      <c r="C128">
        <v>60</v>
      </c>
      <c r="D128">
        <v>65</v>
      </c>
      <c r="E128" t="s">
        <v>272</v>
      </c>
    </row>
    <row r="129" spans="1:4">
      <c r="A129">
        <v>-5</v>
      </c>
      <c r="B129">
        <v>60</v>
      </c>
      <c r="C129">
        <v>55</v>
      </c>
      <c r="D129">
        <v>60</v>
      </c>
    </row>
    <row r="130" spans="1:4">
      <c r="A130">
        <v>0</v>
      </c>
      <c r="B130">
        <v>54</v>
      </c>
      <c r="C130" s="38">
        <v>50</v>
      </c>
      <c r="D130">
        <v>54</v>
      </c>
    </row>
    <row r="131" spans="1:4">
      <c r="A131">
        <v>5</v>
      </c>
      <c r="B131">
        <v>42</v>
      </c>
      <c r="C131" s="38">
        <v>42</v>
      </c>
      <c r="D131">
        <v>42</v>
      </c>
    </row>
    <row r="132" spans="1:4">
      <c r="A132">
        <v>17</v>
      </c>
      <c r="B132">
        <v>25</v>
      </c>
      <c r="C132">
        <v>25</v>
      </c>
      <c r="D132">
        <v>25</v>
      </c>
    </row>
    <row r="134" spans="1:4">
      <c r="A134" s="7" t="s">
        <v>273</v>
      </c>
      <c r="B134" s="52">
        <v>39846</v>
      </c>
    </row>
    <row r="135" spans="1:4">
      <c r="A135">
        <v>-20</v>
      </c>
      <c r="B135" t="s">
        <v>276</v>
      </c>
    </row>
    <row r="136" spans="1:4">
      <c r="A136">
        <v>-5</v>
      </c>
    </row>
    <row r="137" spans="1:4">
      <c r="A137">
        <v>0</v>
      </c>
    </row>
    <row r="138" spans="1:4">
      <c r="A138">
        <v>5</v>
      </c>
    </row>
    <row r="139" spans="1:4">
      <c r="A139">
        <v>17</v>
      </c>
    </row>
    <row r="141" spans="1:4">
      <c r="A141" s="7" t="s">
        <v>274</v>
      </c>
      <c r="B141" s="52">
        <v>39846</v>
      </c>
    </row>
    <row r="142" spans="1:4">
      <c r="A142">
        <v>-20</v>
      </c>
      <c r="B142" t="s">
        <v>272</v>
      </c>
    </row>
    <row r="143" spans="1:4">
      <c r="A143">
        <v>-5</v>
      </c>
    </row>
    <row r="144" spans="1:4">
      <c r="A144">
        <v>0</v>
      </c>
    </row>
    <row r="145" spans="1:1">
      <c r="A145">
        <v>5</v>
      </c>
    </row>
    <row r="146" spans="1:1">
      <c r="A146">
        <v>17</v>
      </c>
    </row>
    <row r="148" spans="1:1">
      <c r="A148" s="7" t="s">
        <v>275</v>
      </c>
    </row>
    <row r="149" spans="1:1">
      <c r="A149">
        <v>-20</v>
      </c>
    </row>
    <row r="150" spans="1:1">
      <c r="A150">
        <v>-5</v>
      </c>
    </row>
    <row r="151" spans="1:1">
      <c r="A151">
        <v>0</v>
      </c>
    </row>
    <row r="152" spans="1:1">
      <c r="A152">
        <v>5</v>
      </c>
    </row>
    <row r="153" spans="1:1">
      <c r="A153">
        <v>17</v>
      </c>
    </row>
    <row r="155" spans="1:1">
      <c r="A155" s="7" t="s">
        <v>328</v>
      </c>
    </row>
    <row r="156" spans="1:1">
      <c r="A156">
        <v>-20</v>
      </c>
    </row>
    <row r="157" spans="1:1">
      <c r="A157">
        <v>-5</v>
      </c>
    </row>
    <row r="158" spans="1:1">
      <c r="A158">
        <v>0</v>
      </c>
    </row>
    <row r="159" spans="1:1">
      <c r="A159">
        <v>5</v>
      </c>
    </row>
    <row r="160" spans="1:1">
      <c r="A160">
        <v>17</v>
      </c>
    </row>
    <row r="163" spans="1:5">
      <c r="A163" s="7" t="s">
        <v>327</v>
      </c>
    </row>
    <row r="164" spans="1:5">
      <c r="A164">
        <v>-20</v>
      </c>
    </row>
    <row r="165" spans="1:5">
      <c r="A165">
        <v>-5</v>
      </c>
    </row>
    <row r="166" spans="1:5">
      <c r="A166">
        <v>0</v>
      </c>
    </row>
    <row r="167" spans="1:5">
      <c r="A167">
        <v>5</v>
      </c>
    </row>
    <row r="168" spans="1:5">
      <c r="A168">
        <v>17</v>
      </c>
    </row>
    <row r="170" spans="1:5">
      <c r="A170" s="7" t="s">
        <v>329</v>
      </c>
      <c r="B170" s="52">
        <v>39967</v>
      </c>
      <c r="E170" s="52">
        <v>39973</v>
      </c>
    </row>
    <row r="171" spans="1:5">
      <c r="A171">
        <v>-20</v>
      </c>
      <c r="B171" t="s">
        <v>320</v>
      </c>
      <c r="E171" t="s">
        <v>324</v>
      </c>
    </row>
    <row r="172" spans="1:5">
      <c r="A172">
        <v>-5</v>
      </c>
      <c r="B172" t="s">
        <v>321</v>
      </c>
      <c r="E172" t="s">
        <v>325</v>
      </c>
    </row>
    <row r="173" spans="1:5">
      <c r="A173">
        <v>0</v>
      </c>
      <c r="B173" t="s">
        <v>322</v>
      </c>
      <c r="E173" t="s">
        <v>326</v>
      </c>
    </row>
    <row r="174" spans="1:5">
      <c r="A174">
        <v>5</v>
      </c>
      <c r="B174" t="s">
        <v>323</v>
      </c>
    </row>
    <row r="175" spans="1:5">
      <c r="A175">
        <v>17</v>
      </c>
    </row>
  </sheetData>
  <phoneticPr fontId="3" type="noConversion"/>
  <pageMargins left="0.75" right="0.75" top="1" bottom="1" header="0.5" footer="0.5"/>
  <pageSetup paperSize="9" orientation="portrait" horizontalDpi="96" verticalDpi="96" r:id="rId1"/>
  <headerFooter alignWithMargins="0"/>
</worksheet>
</file>

<file path=xl/worksheets/sheet6.xml><?xml version="1.0" encoding="utf-8"?>
<worksheet xmlns="http://schemas.openxmlformats.org/spreadsheetml/2006/main" xmlns:r="http://schemas.openxmlformats.org/officeDocument/2006/relationships">
  <dimension ref="A1:C25"/>
  <sheetViews>
    <sheetView workbookViewId="0">
      <selection activeCell="A3" sqref="A3"/>
    </sheetView>
  </sheetViews>
  <sheetFormatPr defaultRowHeight="12.75"/>
  <cols>
    <col min="1" max="1" width="18.85546875" customWidth="1"/>
    <col min="2" max="2" width="7.42578125" customWidth="1"/>
  </cols>
  <sheetData>
    <row r="1" spans="1:3">
      <c r="A1" t="s">
        <v>459</v>
      </c>
    </row>
    <row r="2" spans="1:3">
      <c r="A2" s="7" t="s">
        <v>460</v>
      </c>
      <c r="B2" s="7" t="s">
        <v>412</v>
      </c>
      <c r="C2" s="7" t="s">
        <v>413</v>
      </c>
    </row>
    <row r="3" spans="1:3">
      <c r="A3" t="str">
        <f>'Online data'!C25</f>
        <v>Vårt Hus1</v>
      </c>
      <c r="B3">
        <f>'Online data'!K25</f>
        <v>19.399999999999999</v>
      </c>
      <c r="C3">
        <f>'Online data'!L25</f>
        <v>20.9</v>
      </c>
    </row>
    <row r="4" spans="1:3">
      <c r="A4" t="str">
        <f>'Online data'!C7</f>
        <v>Fabamo</v>
      </c>
      <c r="B4">
        <f>'Online data'!K7</f>
        <v>16</v>
      </c>
      <c r="C4">
        <f>'Online data'!L7</f>
        <v>20.7</v>
      </c>
    </row>
    <row r="5" spans="1:3">
      <c r="A5" t="str">
        <f>'Online data'!C9</f>
        <v>Ormkärrsv.</v>
      </c>
      <c r="B5">
        <f>'Online data'!K9</f>
        <v>20.100000000000001</v>
      </c>
      <c r="C5">
        <f>'Online data'!L9</f>
        <v>18.600000000000001</v>
      </c>
    </row>
    <row r="6" spans="1:3">
      <c r="A6" t="str">
        <f>'Online data'!C13</f>
        <v>Karlsvik</v>
      </c>
      <c r="B6">
        <f>'Online data'!K13</f>
        <v>19.399999999999999</v>
      </c>
      <c r="C6">
        <f>'Online data'!L13</f>
        <v>21.4</v>
      </c>
    </row>
    <row r="7" spans="1:3">
      <c r="A7" t="str">
        <f>'Online data'!C22</f>
        <v>Vagnhallen 16</v>
      </c>
      <c r="B7">
        <f>'Online data'!K22</f>
        <v>22.7</v>
      </c>
      <c r="C7">
        <f>'Online data'!L22</f>
        <v>19.8</v>
      </c>
    </row>
    <row r="8" spans="1:3">
      <c r="A8" t="str">
        <f>'Online data'!C20</f>
        <v>Valkyrian 24</v>
      </c>
      <c r="B8">
        <f>'Online data'!K20</f>
        <v>20.399999999999999</v>
      </c>
      <c r="C8">
        <f>'Online data'!L20</f>
        <v>23.3</v>
      </c>
    </row>
    <row r="9" spans="1:3">
      <c r="A9" t="str">
        <f>'Online data'!C21</f>
        <v>Nattvakten 1</v>
      </c>
      <c r="B9">
        <f>'Online data'!K21</f>
        <v>22.3</v>
      </c>
      <c r="C9">
        <f>'Online data'!L21</f>
        <v>22.2</v>
      </c>
    </row>
    <row r="10" spans="1:3">
      <c r="A10" t="str">
        <f>'Online data'!C29</f>
        <v>Sth.hus25 UC78</v>
      </c>
      <c r="B10">
        <f>'Online data'!K29</f>
        <v>21.5</v>
      </c>
      <c r="C10">
        <f>'Online data'!L29</f>
        <v>20.5</v>
      </c>
    </row>
    <row r="11" spans="1:3">
      <c r="A11" t="str">
        <f>'Online data'!C17</f>
        <v>Ragnhildsborg söder</v>
      </c>
      <c r="B11">
        <f>'Online data'!K17</f>
        <v>22.6</v>
      </c>
      <c r="C11">
        <f>'Online data'!L17</f>
        <v>22.3</v>
      </c>
    </row>
    <row r="12" spans="1:3">
      <c r="A12" t="str">
        <f>'Online data'!C14</f>
        <v>Päronträdet</v>
      </c>
      <c r="B12">
        <f>'Online data'!K14</f>
        <v>19.899999999999999</v>
      </c>
      <c r="C12">
        <f>'Online data'!L14</f>
        <v>20.3</v>
      </c>
    </row>
    <row r="13" spans="1:3">
      <c r="A13" t="str">
        <f>'Online data'!C10</f>
        <v>Drabanten</v>
      </c>
      <c r="B13">
        <f>'Online data'!K10</f>
        <v>19.3</v>
      </c>
      <c r="C13">
        <f>'Online data'!L10</f>
        <v>20.399999999999999</v>
      </c>
    </row>
    <row r="14" spans="1:3">
      <c r="A14" t="str">
        <f>'Online data'!C12</f>
        <v>Träklotsen 2</v>
      </c>
      <c r="B14">
        <f>'Online data'!K12</f>
        <v>22.6</v>
      </c>
      <c r="C14">
        <f>'Online data'!L12</f>
        <v>21.9</v>
      </c>
    </row>
    <row r="15" spans="1:3">
      <c r="A15" t="str">
        <f>'Online data'!C18</f>
        <v>Ragnhildsborg norr</v>
      </c>
      <c r="B15">
        <f>'Online data'!K18</f>
        <v>23.3</v>
      </c>
      <c r="C15">
        <f>'Online data'!L18</f>
        <v>22.7</v>
      </c>
    </row>
    <row r="16" spans="1:3">
      <c r="A16" t="str">
        <f>'Online data'!C19</f>
        <v>Fågelbärsträdet</v>
      </c>
      <c r="B16">
        <f>'Online data'!K19</f>
        <v>22</v>
      </c>
      <c r="C16">
        <f>'Online data'!L19</f>
        <v>21.9</v>
      </c>
    </row>
    <row r="17" spans="1:3">
      <c r="A17" t="str">
        <f>'Online data'!C8</f>
        <v>Smyrna</v>
      </c>
      <c r="B17">
        <f>'Online data'!K8</f>
        <v>22.8</v>
      </c>
      <c r="C17">
        <f>'Online data'!L8</f>
        <v>22.7</v>
      </c>
    </row>
    <row r="18" spans="1:3">
      <c r="A18" t="str">
        <f>'Online data'!C11</f>
        <v>Fiskarg. 8</v>
      </c>
      <c r="B18">
        <f>'Online data'!K11</f>
        <v>23.4</v>
      </c>
      <c r="C18">
        <f>'Online data'!L11</f>
        <v>21.9</v>
      </c>
    </row>
    <row r="19" spans="1:3">
      <c r="A19" t="str">
        <f>'Online data'!C15</f>
        <v>Sabbatsberg 22</v>
      </c>
      <c r="B19">
        <f>'Online data'!K15</f>
        <v>21.8</v>
      </c>
      <c r="C19">
        <f>'Online data'!L15</f>
        <v>23.2</v>
      </c>
    </row>
    <row r="20" spans="1:3">
      <c r="A20" t="str">
        <f>'Online data'!C26</f>
        <v>Flygaren 15-16</v>
      </c>
      <c r="B20">
        <f>'Online data'!K26</f>
        <v>18.8</v>
      </c>
      <c r="C20">
        <f>'Online data'!L26</f>
        <v>19.8</v>
      </c>
    </row>
    <row r="21" spans="1:3">
      <c r="A21" t="str">
        <f>'Online data'!C23</f>
        <v>Magdalena 2</v>
      </c>
      <c r="B21">
        <f>'Online data'!K23</f>
        <v>20.6</v>
      </c>
      <c r="C21">
        <f>'Online data'!L23</f>
        <v>20.9</v>
      </c>
    </row>
    <row r="22" spans="1:3">
      <c r="A22" t="str">
        <f>'Online data'!C27</f>
        <v>Sth.hus25 UC14</v>
      </c>
      <c r="B22">
        <f>'Online data'!K27</f>
        <v>20</v>
      </c>
      <c r="C22">
        <f>'Online data'!L27</f>
        <v>21.1</v>
      </c>
    </row>
    <row r="23" spans="1:3">
      <c r="A23" t="str">
        <f>'Online data'!C28</f>
        <v>Sth.hus25 UC28</v>
      </c>
      <c r="B23">
        <f>'Online data'!K28</f>
        <v>18.5</v>
      </c>
      <c r="C23">
        <f>'Online data'!L28</f>
        <v>20.8</v>
      </c>
    </row>
    <row r="24" spans="1:3">
      <c r="A24" t="str">
        <f>'Online data'!C16</f>
        <v>Båtsmannen M13</v>
      </c>
      <c r="B24">
        <f>'Online data'!K16</f>
        <v>23.8</v>
      </c>
      <c r="C24">
        <f>'Online data'!L16</f>
        <v>21.6</v>
      </c>
    </row>
    <row r="25" spans="1:3">
      <c r="A25" t="str">
        <f>'Online data'!C24</f>
        <v>Härden 19</v>
      </c>
      <c r="B25">
        <f>'Online data'!K24</f>
        <v>23.4</v>
      </c>
      <c r="C25">
        <f>'Online data'!L24</f>
        <v>21.4</v>
      </c>
    </row>
  </sheetData>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6</vt:i4>
      </vt:variant>
      <vt:variant>
        <vt:lpstr>Charts</vt:lpstr>
      </vt:variant>
      <vt:variant>
        <vt:i4>4</vt:i4>
      </vt:variant>
      <vt:variant>
        <vt:lpstr>Named Ranges</vt:lpstr>
      </vt:variant>
      <vt:variant>
        <vt:i4>1</vt:i4>
      </vt:variant>
    </vt:vector>
  </HeadingPairs>
  <TitlesOfParts>
    <vt:vector size="11" baseType="lpstr">
      <vt:lpstr>Online data</vt:lpstr>
      <vt:lpstr>Webblänkar</vt:lpstr>
      <vt:lpstr>Kontaktinfo</vt:lpstr>
      <vt:lpstr>Old Kontaktinformation 090201</vt:lpstr>
      <vt:lpstr>Värmekurva log</vt:lpstr>
      <vt:lpstr>Internal data</vt:lpstr>
      <vt:lpstr>Inomhustemp</vt:lpstr>
      <vt:lpstr>Fjärrvärme</vt:lpstr>
      <vt:lpstr>Värme1 rad</vt:lpstr>
      <vt:lpstr>Effekt</vt:lpstr>
      <vt:lpstr>'Online data'!Report_VAS_raw</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Mats Backstrom</dc:creator>
  <cp:lastModifiedBy>SEROMBM</cp:lastModifiedBy>
  <cp:lastPrinted>2010-10-27T08:39:44Z</cp:lastPrinted>
  <dcterms:created xsi:type="dcterms:W3CDTF">2008-04-30T12:08:53Z</dcterms:created>
  <dcterms:modified xsi:type="dcterms:W3CDTF">2010-12-26T13:26:40Z</dcterms:modified>
</cp:coreProperties>
</file>